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5480" windowHeight="8985" tabRatio="857" activeTab="1"/>
  </bookViews>
  <sheets>
    <sheet name="Общие результаты" sheetId="22" r:id="rId1"/>
    <sheet name="Регистрация" sheetId="8" r:id="rId2"/>
    <sheet name="Kozak i razboyniki" sheetId="16" r:id="rId3"/>
    <sheet name="Mesnyki" sheetId="13" r:id="rId4"/>
    <sheet name="Ognem Racing" sheetId="20" r:id="rId5"/>
    <sheet name="Fury" sheetId="17" r:id="rId6"/>
    <sheet name="46" sheetId="15" r:id="rId7"/>
    <sheet name="Fortune" sheetId="1" r:id="rId8"/>
    <sheet name="FNT" sheetId="14" r:id="rId9"/>
    <sheet name="Chayka Sсhool" sheetId="19" r:id="rId10"/>
    <sheet name="Levi 9" sheetId="18" r:id="rId11"/>
    <sheet name="Jaguar" sheetId="12" r:id="rId12"/>
  </sheets>
  <calcPr calcId="145621"/>
</workbook>
</file>

<file path=xl/calcChain.xml><?xml version="1.0" encoding="utf-8"?>
<calcChain xmlns="http://schemas.openxmlformats.org/spreadsheetml/2006/main">
  <c r="H10" i="22" l="1"/>
  <c r="H9" i="22"/>
  <c r="H8" i="22"/>
  <c r="H7" i="22"/>
  <c r="H6" i="22"/>
  <c r="F15" i="12" l="1"/>
  <c r="F16" i="18"/>
  <c r="F15" i="18"/>
  <c r="F14" i="18"/>
  <c r="F16" i="19"/>
  <c r="F15" i="19"/>
  <c r="F14" i="19"/>
  <c r="F16" i="14"/>
  <c r="F15" i="14"/>
  <c r="F14" i="14"/>
  <c r="F16" i="20"/>
  <c r="F15" i="20"/>
  <c r="F14" i="20"/>
  <c r="G16" i="1"/>
  <c r="G15" i="1"/>
  <c r="G14" i="1"/>
  <c r="F16" i="15"/>
  <c r="F15" i="15"/>
  <c r="F14" i="15"/>
  <c r="G13" i="20"/>
  <c r="G12" i="20"/>
  <c r="G15" i="20" s="1"/>
  <c r="G11" i="20"/>
  <c r="G10" i="20"/>
  <c r="I10" i="20" s="1"/>
  <c r="I16" i="20" s="1"/>
  <c r="F16" i="17"/>
  <c r="F15" i="17"/>
  <c r="F14" i="17"/>
  <c r="F15" i="13"/>
  <c r="F14" i="13"/>
  <c r="F16" i="13"/>
  <c r="F15" i="16"/>
  <c r="F14" i="16"/>
  <c r="I13" i="20"/>
  <c r="E13" i="20"/>
  <c r="I12" i="20"/>
  <c r="I15" i="20" s="1"/>
  <c r="E12" i="20"/>
  <c r="I11" i="20"/>
  <c r="E11" i="20"/>
  <c r="E10" i="20"/>
  <c r="G13" i="19"/>
  <c r="I13" i="19" s="1"/>
  <c r="G12" i="19"/>
  <c r="I12" i="19" s="1"/>
  <c r="G11" i="19"/>
  <c r="I11" i="19" s="1"/>
  <c r="I15" i="19" s="1"/>
  <c r="G10" i="19"/>
  <c r="G16" i="19" s="1"/>
  <c r="E13" i="19"/>
  <c r="E12" i="19"/>
  <c r="E11" i="19"/>
  <c r="I10" i="19"/>
  <c r="I16" i="19" s="1"/>
  <c r="E10" i="19"/>
  <c r="G13" i="18"/>
  <c r="I13" i="18" s="1"/>
  <c r="G12" i="18"/>
  <c r="G11" i="18"/>
  <c r="I11" i="18" s="1"/>
  <c r="I15" i="18" s="1"/>
  <c r="G10" i="18"/>
  <c r="G16" i="18" s="1"/>
  <c r="E13" i="18"/>
  <c r="I12" i="18"/>
  <c r="E12" i="18"/>
  <c r="E11" i="18"/>
  <c r="I10" i="18"/>
  <c r="I16" i="18" s="1"/>
  <c r="E10" i="18"/>
  <c r="G14" i="20" l="1"/>
  <c r="G16" i="20"/>
  <c r="G14" i="19"/>
  <c r="I14" i="18"/>
  <c r="G15" i="18"/>
  <c r="I14" i="20"/>
  <c r="I14" i="19"/>
  <c r="G15" i="19"/>
  <c r="G14" i="18"/>
  <c r="G13" i="17"/>
  <c r="G12" i="17"/>
  <c r="G11" i="17"/>
  <c r="I11" i="17" s="1"/>
  <c r="G10" i="17"/>
  <c r="I13" i="17"/>
  <c r="E13" i="17"/>
  <c r="I12" i="17"/>
  <c r="I15" i="17" s="1"/>
  <c r="E12" i="17"/>
  <c r="E11" i="17"/>
  <c r="I10" i="17"/>
  <c r="E10" i="17"/>
  <c r="G13" i="16"/>
  <c r="G12" i="16"/>
  <c r="G11" i="16"/>
  <c r="G15" i="16" s="1"/>
  <c r="G10" i="16"/>
  <c r="G14" i="16" s="1"/>
  <c r="F16" i="16"/>
  <c r="I13" i="16"/>
  <c r="E13" i="16"/>
  <c r="I12" i="16"/>
  <c r="E12" i="16"/>
  <c r="I11" i="16"/>
  <c r="I15" i="16" s="1"/>
  <c r="E11" i="16"/>
  <c r="G16" i="16"/>
  <c r="E10" i="16"/>
  <c r="G13" i="15"/>
  <c r="G12" i="15"/>
  <c r="I12" i="15"/>
  <c r="G11" i="15"/>
  <c r="G15" i="15" s="1"/>
  <c r="G10" i="15"/>
  <c r="I13" i="15"/>
  <c r="E13" i="15"/>
  <c r="E12" i="15"/>
  <c r="E11" i="15"/>
  <c r="E10" i="15"/>
  <c r="G13" i="14"/>
  <c r="G12" i="14"/>
  <c r="I12" i="14" s="1"/>
  <c r="G11" i="14"/>
  <c r="G15" i="14" s="1"/>
  <c r="I11" i="14"/>
  <c r="I13" i="14"/>
  <c r="G10" i="14"/>
  <c r="E13" i="14"/>
  <c r="E12" i="14"/>
  <c r="E11" i="14"/>
  <c r="E10" i="14"/>
  <c r="K10" i="14"/>
  <c r="L10" i="14"/>
  <c r="K11" i="14"/>
  <c r="L11" i="14"/>
  <c r="K12" i="14"/>
  <c r="L12" i="14"/>
  <c r="K13" i="14"/>
  <c r="L13" i="14"/>
  <c r="G13" i="13"/>
  <c r="G12" i="13"/>
  <c r="G15" i="13" s="1"/>
  <c r="G11" i="13"/>
  <c r="I11" i="13" s="1"/>
  <c r="G10" i="13"/>
  <c r="I13" i="13"/>
  <c r="E13" i="13"/>
  <c r="E12" i="13"/>
  <c r="E11" i="13"/>
  <c r="E10" i="13"/>
  <c r="G13" i="12"/>
  <c r="I13" i="12" s="1"/>
  <c r="G12" i="12"/>
  <c r="G11" i="12"/>
  <c r="G10" i="12"/>
  <c r="I10" i="12" s="1"/>
  <c r="E13" i="12"/>
  <c r="E12" i="12"/>
  <c r="E11" i="12"/>
  <c r="E10" i="12"/>
  <c r="F14" i="12"/>
  <c r="I12" i="12"/>
  <c r="H13" i="1"/>
  <c r="J13" i="1" s="1"/>
  <c r="F13" i="1"/>
  <c r="F12" i="1"/>
  <c r="F11" i="1"/>
  <c r="H12" i="1"/>
  <c r="J12" i="1" s="1"/>
  <c r="H11" i="1"/>
  <c r="H10" i="1"/>
  <c r="L13" i="1"/>
  <c r="L12" i="1"/>
  <c r="M12" i="1" s="1"/>
  <c r="K13" i="13"/>
  <c r="K12" i="13"/>
  <c r="L12" i="13" s="1"/>
  <c r="K11" i="13"/>
  <c r="K13" i="15"/>
  <c r="K12" i="15"/>
  <c r="K13" i="16"/>
  <c r="K12" i="16"/>
  <c r="K13" i="17"/>
  <c r="K12" i="17"/>
  <c r="L12" i="17" s="1"/>
  <c r="K13" i="18"/>
  <c r="K12" i="18"/>
  <c r="K13" i="19"/>
  <c r="K12" i="19"/>
  <c r="K11" i="19"/>
  <c r="L11" i="19" s="1"/>
  <c r="K11" i="16"/>
  <c r="L11" i="16" s="1"/>
  <c r="K11" i="18"/>
  <c r="L11" i="18" s="1"/>
  <c r="L11" i="1"/>
  <c r="M11" i="1" s="1"/>
  <c r="K11" i="15"/>
  <c r="L11" i="15" s="1"/>
  <c r="K11" i="17"/>
  <c r="K13" i="20"/>
  <c r="L13" i="20" s="1"/>
  <c r="K12" i="20"/>
  <c r="L12" i="20" s="1"/>
  <c r="K11" i="20"/>
  <c r="L11" i="20" s="1"/>
  <c r="K13" i="12"/>
  <c r="K12" i="12"/>
  <c r="K11" i="12"/>
  <c r="L11" i="12" s="1"/>
  <c r="K10" i="19"/>
  <c r="L10" i="19" s="1"/>
  <c r="K10" i="17"/>
  <c r="L10" i="17" s="1"/>
  <c r="K10" i="16"/>
  <c r="L10" i="16" s="1"/>
  <c r="K10" i="15"/>
  <c r="L10" i="15" s="1"/>
  <c r="K10" i="13"/>
  <c r="L10" i="13" s="1"/>
  <c r="K10" i="18"/>
  <c r="L10" i="18" s="1"/>
  <c r="K10" i="12"/>
  <c r="L10" i="12" s="1"/>
  <c r="K10" i="20"/>
  <c r="L10" i="20" s="1"/>
  <c r="M10" i="1"/>
  <c r="L10" i="1"/>
  <c r="H25" i="8"/>
  <c r="H23" i="8"/>
  <c r="H21" i="8"/>
  <c r="H19" i="8"/>
  <c r="H17" i="8"/>
  <c r="H15" i="8"/>
  <c r="H13" i="8"/>
  <c r="H11" i="8"/>
  <c r="H9" i="8"/>
  <c r="H7" i="8"/>
  <c r="J11" i="1" l="1"/>
  <c r="J15" i="1" s="1"/>
  <c r="H15" i="1"/>
  <c r="I10" i="13"/>
  <c r="G14" i="13"/>
  <c r="G16" i="13"/>
  <c r="G16" i="14"/>
  <c r="G14" i="14"/>
  <c r="I15" i="14"/>
  <c r="I11" i="15"/>
  <c r="I15" i="15" s="1"/>
  <c r="L12" i="18"/>
  <c r="L12" i="15"/>
  <c r="L11" i="13"/>
  <c r="L13" i="13"/>
  <c r="J10" i="1"/>
  <c r="H16" i="1"/>
  <c r="H14" i="1"/>
  <c r="I12" i="13"/>
  <c r="I15" i="13" s="1"/>
  <c r="I10" i="14"/>
  <c r="G16" i="15"/>
  <c r="G14" i="15"/>
  <c r="I16" i="17"/>
  <c r="I14" i="17"/>
  <c r="G16" i="17"/>
  <c r="G14" i="17"/>
  <c r="G15" i="17"/>
  <c r="F17" i="12"/>
  <c r="F16" i="12"/>
  <c r="G15" i="12"/>
  <c r="I11" i="12"/>
  <c r="L13" i="19"/>
  <c r="L12" i="19"/>
  <c r="L13" i="18"/>
  <c r="L11" i="17"/>
  <c r="L13" i="17"/>
  <c r="L12" i="16"/>
  <c r="L13" i="16"/>
  <c r="I10" i="16"/>
  <c r="I10" i="15"/>
  <c r="L13" i="15"/>
  <c r="L12" i="12"/>
  <c r="G14" i="12"/>
  <c r="G16" i="12" s="1"/>
  <c r="L13" i="12"/>
  <c r="M13" i="1"/>
  <c r="I16" i="15" l="1"/>
  <c r="I14" i="15"/>
  <c r="I16" i="14"/>
  <c r="I14" i="14"/>
  <c r="J16" i="1"/>
  <c r="J14" i="1"/>
  <c r="I16" i="16"/>
  <c r="I14" i="16"/>
  <c r="I16" i="13"/>
  <c r="I14" i="13"/>
  <c r="I15" i="12"/>
  <c r="G17" i="12"/>
  <c r="I14" i="12"/>
  <c r="I16" i="12" s="1"/>
  <c r="I17" i="12" l="1"/>
</calcChain>
</file>

<file path=xl/comments1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10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проехал 3 круга подряд 42,84 :-) и 4-й круг 42,82</t>
        </r>
      </text>
    </comment>
  </commentList>
</comments>
</file>

<file path=xl/comments6.xml><?xml version="1.0" encoding="utf-8"?>
<comments xmlns="http://schemas.openxmlformats.org/spreadsheetml/2006/main">
  <authors>
    <author>Картинг</author>
  </authors>
  <commentList>
    <comment ref="I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04"/>
          </rPr>
          <t>Картинг:</t>
        </r>
        <r>
          <rPr>
            <sz val="9"/>
            <color indexed="81"/>
            <rFont val="Tahoma"/>
            <family val="2"/>
            <charset val="204"/>
          </rPr>
          <t xml:space="preserve">
Борьба с Плакидюком за 6 позицию</t>
        </r>
      </text>
    </comment>
  </commentList>
</comments>
</file>

<file path=xl/comments7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<sst xmlns="http://schemas.openxmlformats.org/spreadsheetml/2006/main" count="410" uniqueCount="149">
  <si>
    <t>** заполняется официальным представителем картодрома</t>
  </si>
  <si>
    <t>Подпись организатора**</t>
  </si>
  <si>
    <t>Время поломки**</t>
  </si>
  <si>
    <t>Время круга сек**</t>
  </si>
  <si>
    <t>Круг</t>
  </si>
  <si>
    <t>Причина</t>
  </si>
  <si>
    <t>Поломки</t>
  </si>
  <si>
    <t>всего у пилота</t>
  </si>
  <si>
    <t>отрезок</t>
  </si>
  <si>
    <t>Кол-во кругов на трассе</t>
  </si>
  <si>
    <t>Пилот</t>
  </si>
  <si>
    <t>Обяза-тельные</t>
  </si>
  <si>
    <t>Команда</t>
  </si>
  <si>
    <t>№</t>
  </si>
  <si>
    <t>№ ком</t>
  </si>
  <si>
    <t>Вес</t>
  </si>
  <si>
    <t>Регистрационная форма</t>
  </si>
  <si>
    <t>Финиш</t>
  </si>
  <si>
    <t>Общее время гонки</t>
  </si>
  <si>
    <t>Чемпионат мини марафон "Большие Гонки", 02.07.2016, Конфигурация 4</t>
  </si>
  <si>
    <t>Чемпионат мини марафон "Большие Гонки"</t>
  </si>
  <si>
    <t>карт</t>
  </si>
  <si>
    <t>Fury</t>
  </si>
  <si>
    <t>Хавило Дима</t>
  </si>
  <si>
    <t>Тыщенко Миша</t>
  </si>
  <si>
    <t>Mesnyki</t>
  </si>
  <si>
    <t>Винтонив Иван</t>
  </si>
  <si>
    <t>Горошко Игорь</t>
  </si>
  <si>
    <t>Ognem Racing</t>
  </si>
  <si>
    <t>Пикулин Паша</t>
  </si>
  <si>
    <t>Голубченко Саша</t>
  </si>
  <si>
    <t>3-1</t>
  </si>
  <si>
    <t>3-2</t>
  </si>
  <si>
    <t>7-1</t>
  </si>
  <si>
    <t>7-2</t>
  </si>
  <si>
    <t>10-1</t>
  </si>
  <si>
    <t>10-2</t>
  </si>
  <si>
    <t>Онащук Максим</t>
  </si>
  <si>
    <t>Хлопонин Андрей</t>
  </si>
  <si>
    <t>1-1</t>
  </si>
  <si>
    <t>1-2</t>
  </si>
  <si>
    <t>Fortune</t>
  </si>
  <si>
    <t>Levi 9</t>
  </si>
  <si>
    <t>Трофименко Иван</t>
  </si>
  <si>
    <t>8-1</t>
  </si>
  <si>
    <t>Лабинский Николай</t>
  </si>
  <si>
    <t>8-2</t>
  </si>
  <si>
    <t>FNT</t>
  </si>
  <si>
    <t>Плакидюк Виталик</t>
  </si>
  <si>
    <t>4-1</t>
  </si>
  <si>
    <t>Несторенко Андрей</t>
  </si>
  <si>
    <t>4-2</t>
  </si>
  <si>
    <t>Межиевский Сергей</t>
  </si>
  <si>
    <t>Горбоконь Андрей</t>
  </si>
  <si>
    <t>9-1</t>
  </si>
  <si>
    <t>9-2</t>
  </si>
  <si>
    <t>Jaguar</t>
  </si>
  <si>
    <t>Лихошерст Алексей</t>
  </si>
  <si>
    <t>Таволжан Виталий</t>
  </si>
  <si>
    <t>2-1</t>
  </si>
  <si>
    <t>2-2</t>
  </si>
  <si>
    <t>Манило Денис</t>
  </si>
  <si>
    <t>Стецык Сергей</t>
  </si>
  <si>
    <t>Рожков Олег</t>
  </si>
  <si>
    <t>Шендрик Влад</t>
  </si>
  <si>
    <t>5-1</t>
  </si>
  <si>
    <t>5-2</t>
  </si>
  <si>
    <t>Kozak i razboyniki</t>
  </si>
  <si>
    <t>Квала</t>
  </si>
  <si>
    <t>Место</t>
  </si>
  <si>
    <t>Среднее</t>
  </si>
  <si>
    <t>Карт</t>
  </si>
  <si>
    <t>Плакидюк Виталий</t>
  </si>
  <si>
    <t>Лучший круг</t>
  </si>
  <si>
    <t>Среднее на отрезке</t>
  </si>
  <si>
    <t>Кругов в 0,1 на отрезке</t>
  </si>
  <si>
    <t>стабильность</t>
  </si>
  <si>
    <t>Питы</t>
  </si>
  <si>
    <t>Кругов в 0,1 от лучшего</t>
  </si>
  <si>
    <t>статистика по кругам</t>
  </si>
  <si>
    <t>кругов на отрезке</t>
  </si>
  <si>
    <t>1:52.37</t>
  </si>
  <si>
    <t>1:54.37</t>
  </si>
  <si>
    <t>1:52.43</t>
  </si>
  <si>
    <t>Штрафы/ бонусы (сек)</t>
  </si>
  <si>
    <t>переехал линию (1-2)</t>
  </si>
  <si>
    <t>нарушение на старте (1-2)</t>
  </si>
  <si>
    <t>2:17.70</t>
  </si>
  <si>
    <t>1:53.05</t>
  </si>
  <si>
    <t>1:48.58</t>
  </si>
  <si>
    <t>бонус за вес</t>
  </si>
  <si>
    <t>1:56.47</t>
  </si>
  <si>
    <t>1:48.77</t>
  </si>
  <si>
    <t>1:46.15</t>
  </si>
  <si>
    <t>1:27.13</t>
  </si>
  <si>
    <t>1:46.00</t>
  </si>
  <si>
    <t>1:46.71</t>
  </si>
  <si>
    <t>10 сек</t>
  </si>
  <si>
    <t>бонус за вес, вернули за 2 раза</t>
  </si>
  <si>
    <t>против 8 команды в лесу</t>
  </si>
  <si>
    <t>Статистика по кругам</t>
  </si>
  <si>
    <t>2:17.19</t>
  </si>
  <si>
    <t>1:46.26</t>
  </si>
  <si>
    <t>1:50.19</t>
  </si>
  <si>
    <t>пересек линию</t>
  </si>
  <si>
    <t xml:space="preserve"> Mesnyki</t>
  </si>
  <si>
    <t>2:16.32</t>
  </si>
  <si>
    <t>1:46.39</t>
  </si>
  <si>
    <t>1:46.64</t>
  </si>
  <si>
    <t>2:08.75</t>
  </si>
  <si>
    <t>1:46.37</t>
  </si>
  <si>
    <t>штраф за несвоевременный пит</t>
  </si>
  <si>
    <t>2:05.13</t>
  </si>
  <si>
    <t>1:48.07</t>
  </si>
  <si>
    <t>1:47.27</t>
  </si>
  <si>
    <t>Chayka Sсhool</t>
  </si>
  <si>
    <t>2:13.44</t>
  </si>
  <si>
    <t>1:52.78</t>
  </si>
  <si>
    <t>1:47.05</t>
  </si>
  <si>
    <t>Сергей</t>
  </si>
  <si>
    <t>Денис</t>
  </si>
  <si>
    <t>Ваня</t>
  </si>
  <si>
    <t>Игорь</t>
  </si>
  <si>
    <t>Миша</t>
  </si>
  <si>
    <t>Дима</t>
  </si>
  <si>
    <t>2:09.29</t>
  </si>
  <si>
    <t>1:46.41</t>
  </si>
  <si>
    <t>Влад</t>
  </si>
  <si>
    <t>Олег</t>
  </si>
  <si>
    <t>Андрей</t>
  </si>
  <si>
    <t>Максим</t>
  </si>
  <si>
    <t>Саша</t>
  </si>
  <si>
    <t>Паша</t>
  </si>
  <si>
    <t>2:00:03.67</t>
  </si>
  <si>
    <t>1 круг</t>
  </si>
  <si>
    <t>2 круга</t>
  </si>
  <si>
    <t>3 круга</t>
  </si>
  <si>
    <t>Конфигурация #4</t>
  </si>
  <si>
    <t>№ в гонке</t>
  </si>
  <si>
    <t>Гонка</t>
  </si>
  <si>
    <t>Лучший круг в гонке</t>
  </si>
  <si>
    <t>Время</t>
  </si>
  <si>
    <t>Круги</t>
  </si>
  <si>
    <t>Время/от лидера</t>
  </si>
  <si>
    <t>От места выше</t>
  </si>
  <si>
    <t>На круге</t>
  </si>
  <si>
    <t>Серия мини марафонов "Большие Гонки 2016", 1-й этап, 02.07.16</t>
  </si>
  <si>
    <t>Место в гонке</t>
  </si>
  <si>
    <t>Виталик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</si>
</sst>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:mm:ss;@"/>
    <numFmt numFmtId="166" formatCode="0.000"/>
    <numFmt numFmtId="167" formatCode="mm:ss.0;@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trike/>
      <sz val="12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3"/>
      <color indexed="8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2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6" fontId="2" fillId="0" borderId="28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66" fontId="11" fillId="3" borderId="1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0" fillId="6" borderId="13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12" sqref="D12"/>
    </sheetView>
  </sheetViews>
  <sheetFormatPr defaultRowHeight="15" x14ac:dyDescent="0.25"/>
  <cols>
    <col min="1" max="1" width="9.140625" style="1"/>
    <col min="2" max="2" width="19.5703125" style="1" customWidth="1"/>
    <col min="3" max="3" width="7.140625" style="1" customWidth="1"/>
    <col min="4" max="4" width="11.5703125" style="1" customWidth="1"/>
    <col min="5" max="5" width="7" style="1" customWidth="1"/>
    <col min="6" max="6" width="10.42578125" style="1" customWidth="1"/>
    <col min="7" max="7" width="17" style="1" customWidth="1"/>
    <col min="8" max="8" width="14.7109375" style="1" customWidth="1"/>
    <col min="9" max="9" width="11.140625" style="1" customWidth="1"/>
    <col min="10" max="10" width="9" style="1" customWidth="1"/>
  </cols>
  <sheetData>
    <row r="1" spans="1:10" ht="19.5" x14ac:dyDescent="0.3">
      <c r="A1" s="120" t="s">
        <v>146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x14ac:dyDescent="0.3">
      <c r="A2" s="121" t="s">
        <v>137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6" customHeight="1" thickBot="1" x14ac:dyDescent="0.3"/>
    <row r="4" spans="1:10" s="2" customFormat="1" ht="15" customHeight="1" x14ac:dyDescent="0.25">
      <c r="A4" s="122" t="s">
        <v>147</v>
      </c>
      <c r="B4" s="124" t="s">
        <v>12</v>
      </c>
      <c r="C4" s="126" t="s">
        <v>138</v>
      </c>
      <c r="D4" s="128" t="s">
        <v>68</v>
      </c>
      <c r="E4" s="129"/>
      <c r="F4" s="130" t="s">
        <v>139</v>
      </c>
      <c r="G4" s="131"/>
      <c r="H4" s="124"/>
      <c r="I4" s="128" t="s">
        <v>140</v>
      </c>
      <c r="J4" s="129"/>
    </row>
    <row r="5" spans="1:10" s="29" customFormat="1" ht="15.75" thickBot="1" x14ac:dyDescent="0.3">
      <c r="A5" s="123"/>
      <c r="B5" s="125"/>
      <c r="C5" s="127"/>
      <c r="D5" s="8" t="s">
        <v>141</v>
      </c>
      <c r="E5" s="32" t="s">
        <v>69</v>
      </c>
      <c r="F5" s="90" t="s">
        <v>142</v>
      </c>
      <c r="G5" s="91" t="s">
        <v>143</v>
      </c>
      <c r="H5" s="91" t="s">
        <v>144</v>
      </c>
      <c r="I5" s="8" t="s">
        <v>141</v>
      </c>
      <c r="J5" s="32" t="s">
        <v>145</v>
      </c>
    </row>
    <row r="6" spans="1:10" s="2" customFormat="1" ht="24.95" customHeight="1" x14ac:dyDescent="0.25">
      <c r="A6" s="92">
        <v>1</v>
      </c>
      <c r="B6" s="93" t="s">
        <v>67</v>
      </c>
      <c r="C6" s="94">
        <v>6</v>
      </c>
      <c r="D6" s="95">
        <v>42.08</v>
      </c>
      <c r="E6" s="94">
        <v>3</v>
      </c>
      <c r="F6" s="96">
        <v>166</v>
      </c>
      <c r="G6" s="97" t="s">
        <v>133</v>
      </c>
      <c r="H6" s="97" t="str">
        <f>G6</f>
        <v>2:00:03.67</v>
      </c>
      <c r="I6" s="108">
        <v>41.38</v>
      </c>
      <c r="J6" s="94">
        <v>148</v>
      </c>
    </row>
    <row r="7" spans="1:10" s="2" customFormat="1" ht="24.95" customHeight="1" x14ac:dyDescent="0.25">
      <c r="A7" s="9">
        <v>2</v>
      </c>
      <c r="B7" s="98" t="s">
        <v>25</v>
      </c>
      <c r="C7" s="30">
        <v>3</v>
      </c>
      <c r="D7" s="25">
        <v>41.98</v>
      </c>
      <c r="E7" s="102">
        <v>1</v>
      </c>
      <c r="F7" s="99">
        <v>166</v>
      </c>
      <c r="G7" s="100">
        <v>8.6199999999999992</v>
      </c>
      <c r="H7" s="100">
        <f>G7</f>
        <v>8.6199999999999992</v>
      </c>
      <c r="I7" s="25">
        <v>41.65</v>
      </c>
      <c r="J7" s="30">
        <v>18</v>
      </c>
    </row>
    <row r="8" spans="1:10" s="2" customFormat="1" ht="24.95" customHeight="1" x14ac:dyDescent="0.25">
      <c r="A8" s="9">
        <v>3</v>
      </c>
      <c r="B8" s="98" t="s">
        <v>28</v>
      </c>
      <c r="C8" s="30">
        <v>10</v>
      </c>
      <c r="D8" s="101">
        <v>42.42</v>
      </c>
      <c r="E8" s="30">
        <v>7</v>
      </c>
      <c r="F8" s="99">
        <v>166</v>
      </c>
      <c r="G8" s="100">
        <v>17.02</v>
      </c>
      <c r="H8" s="100">
        <f>G8-G7</f>
        <v>8.4</v>
      </c>
      <c r="I8" s="101">
        <v>41.56</v>
      </c>
      <c r="J8" s="30">
        <v>145</v>
      </c>
    </row>
    <row r="9" spans="1:10" s="2" customFormat="1" ht="24.95" customHeight="1" x14ac:dyDescent="0.25">
      <c r="A9" s="9">
        <v>4</v>
      </c>
      <c r="B9" s="98" t="s">
        <v>22</v>
      </c>
      <c r="C9" s="30">
        <v>7</v>
      </c>
      <c r="D9" s="25">
        <v>42.07</v>
      </c>
      <c r="E9" s="102">
        <v>2</v>
      </c>
      <c r="F9" s="103">
        <v>166</v>
      </c>
      <c r="G9" s="26">
        <v>35.46</v>
      </c>
      <c r="H9" s="104">
        <f>G9-G8</f>
        <v>18.440000000000001</v>
      </c>
      <c r="I9" s="105">
        <v>41.51</v>
      </c>
      <c r="J9" s="30">
        <v>124</v>
      </c>
    </row>
    <row r="10" spans="1:10" s="2" customFormat="1" ht="24.95" customHeight="1" x14ac:dyDescent="0.25">
      <c r="A10" s="9">
        <v>5</v>
      </c>
      <c r="B10" s="98">
        <v>46</v>
      </c>
      <c r="C10" s="30">
        <v>5</v>
      </c>
      <c r="D10" s="105">
        <v>42.284999999999997</v>
      </c>
      <c r="E10" s="102">
        <v>6</v>
      </c>
      <c r="F10" s="103">
        <v>165</v>
      </c>
      <c r="G10" s="26" t="s">
        <v>134</v>
      </c>
      <c r="H10" s="104">
        <f>30</f>
        <v>30</v>
      </c>
      <c r="I10" s="105">
        <v>41.65</v>
      </c>
      <c r="J10" s="30">
        <v>89</v>
      </c>
    </row>
    <row r="11" spans="1:10" s="2" customFormat="1" ht="24.95" customHeight="1" x14ac:dyDescent="0.25">
      <c r="A11" s="9">
        <v>6</v>
      </c>
      <c r="B11" s="98" t="s">
        <v>41</v>
      </c>
      <c r="C11" s="30">
        <v>1</v>
      </c>
      <c r="D11" s="105">
        <v>42.445</v>
      </c>
      <c r="E11" s="102">
        <v>8</v>
      </c>
      <c r="F11" s="103">
        <v>164</v>
      </c>
      <c r="G11" s="26" t="s">
        <v>135</v>
      </c>
      <c r="H11" s="104">
        <v>17</v>
      </c>
      <c r="I11" s="105">
        <v>41.84</v>
      </c>
      <c r="J11" s="30">
        <v>31</v>
      </c>
    </row>
    <row r="12" spans="1:10" s="2" customFormat="1" ht="24.95" customHeight="1" x14ac:dyDescent="0.25">
      <c r="A12" s="9">
        <v>7</v>
      </c>
      <c r="B12" s="98" t="s">
        <v>47</v>
      </c>
      <c r="C12" s="30">
        <v>4</v>
      </c>
      <c r="D12" s="105">
        <v>42.174999999999997</v>
      </c>
      <c r="E12" s="102">
        <v>4</v>
      </c>
      <c r="F12" s="103">
        <v>164</v>
      </c>
      <c r="G12" s="26" t="s">
        <v>135</v>
      </c>
      <c r="H12" s="104">
        <v>3.5</v>
      </c>
      <c r="I12" s="105">
        <v>42.11</v>
      </c>
      <c r="J12" s="30">
        <v>95</v>
      </c>
    </row>
    <row r="13" spans="1:10" s="2" customFormat="1" ht="24.95" customHeight="1" x14ac:dyDescent="0.25">
      <c r="A13" s="9">
        <v>8</v>
      </c>
      <c r="B13" s="98" t="s">
        <v>115</v>
      </c>
      <c r="C13" s="30">
        <v>9</v>
      </c>
      <c r="D13" s="105">
        <v>42.604999999999997</v>
      </c>
      <c r="E13" s="102">
        <v>9</v>
      </c>
      <c r="F13" s="99">
        <v>164</v>
      </c>
      <c r="G13" s="100" t="s">
        <v>135</v>
      </c>
      <c r="H13" s="104">
        <v>16</v>
      </c>
      <c r="I13" s="25">
        <v>41.84</v>
      </c>
      <c r="J13" s="30">
        <v>20</v>
      </c>
    </row>
    <row r="14" spans="1:10" s="2" customFormat="1" ht="24.95" customHeight="1" x14ac:dyDescent="0.25">
      <c r="A14" s="9">
        <v>9</v>
      </c>
      <c r="B14" s="98" t="s">
        <v>42</v>
      </c>
      <c r="C14" s="30">
        <v>8</v>
      </c>
      <c r="D14" s="101">
        <v>42.255000000000003</v>
      </c>
      <c r="E14" s="30">
        <v>5</v>
      </c>
      <c r="F14" s="99">
        <v>163</v>
      </c>
      <c r="G14" s="100" t="s">
        <v>136</v>
      </c>
      <c r="H14" s="104" t="s">
        <v>134</v>
      </c>
      <c r="I14" s="101">
        <v>41.9</v>
      </c>
      <c r="J14" s="30">
        <v>92</v>
      </c>
    </row>
    <row r="15" spans="1:10" s="2" customFormat="1" ht="24.95" customHeight="1" thickBot="1" x14ac:dyDescent="0.3">
      <c r="A15" s="8">
        <v>10</v>
      </c>
      <c r="B15" s="109" t="s">
        <v>56</v>
      </c>
      <c r="C15" s="110">
        <v>2</v>
      </c>
      <c r="D15" s="111">
        <v>42.744999999999997</v>
      </c>
      <c r="E15" s="110">
        <v>10</v>
      </c>
      <c r="F15" s="112">
        <v>163</v>
      </c>
      <c r="G15" s="91" t="s">
        <v>136</v>
      </c>
      <c r="H15" s="113">
        <v>6</v>
      </c>
      <c r="I15" s="8">
        <v>41.81</v>
      </c>
      <c r="J15" s="32">
        <v>103</v>
      </c>
    </row>
    <row r="17" spans="1:1" x14ac:dyDescent="0.25">
      <c r="A17" s="106"/>
    </row>
    <row r="18" spans="1:1" x14ac:dyDescent="0.25">
      <c r="A18" s="106"/>
    </row>
    <row r="19" spans="1:1" ht="5.25" customHeight="1" x14ac:dyDescent="0.25">
      <c r="A19" s="106"/>
    </row>
    <row r="20" spans="1:1" s="1" customFormat="1" x14ac:dyDescent="0.25">
      <c r="A20" s="106"/>
    </row>
    <row r="21" spans="1:1" s="1" customFormat="1" x14ac:dyDescent="0.25">
      <c r="A21" s="106"/>
    </row>
    <row r="22" spans="1:1" s="1" customFormat="1" x14ac:dyDescent="0.25">
      <c r="A22" s="106"/>
    </row>
    <row r="23" spans="1:1" s="1" customFormat="1" ht="6.75" customHeight="1" x14ac:dyDescent="0.25">
      <c r="A23" s="106"/>
    </row>
    <row r="24" spans="1:1" s="1" customFormat="1" x14ac:dyDescent="0.25">
      <c r="A24" s="106"/>
    </row>
    <row r="25" spans="1:1" s="1" customFormat="1" x14ac:dyDescent="0.25">
      <c r="A25" s="107"/>
    </row>
    <row r="26" spans="1:1" s="1" customFormat="1" x14ac:dyDescent="0.25">
      <c r="A26" s="107"/>
    </row>
    <row r="27" spans="1:1" s="1" customFormat="1" ht="6.75" customHeight="1" x14ac:dyDescent="0.25">
      <c r="A27" s="107"/>
    </row>
    <row r="28" spans="1:1" s="1" customFormat="1" x14ac:dyDescent="0.25">
      <c r="A28" s="107"/>
    </row>
    <row r="29" spans="1:1" s="1" customFormat="1" x14ac:dyDescent="0.25">
      <c r="A29" s="107"/>
    </row>
    <row r="30" spans="1:1" s="1" customFormat="1" x14ac:dyDescent="0.25">
      <c r="A30" s="107"/>
    </row>
    <row r="31" spans="1:1" s="1" customFormat="1" x14ac:dyDescent="0.25">
      <c r="A31" s="107"/>
    </row>
    <row r="32" spans="1:1" s="1" customFormat="1" ht="7.5" customHeight="1" x14ac:dyDescent="0.25">
      <c r="A32" s="106"/>
    </row>
    <row r="33" spans="1:1" s="1" customFormat="1" x14ac:dyDescent="0.25">
      <c r="A33" s="106"/>
    </row>
    <row r="34" spans="1:1" s="1" customFormat="1" x14ac:dyDescent="0.25">
      <c r="A34" s="106"/>
    </row>
    <row r="35" spans="1:1" s="1" customFormat="1" x14ac:dyDescent="0.25">
      <c r="A35" s="106"/>
    </row>
    <row r="36" spans="1:1" s="1" customFormat="1" ht="6.75" customHeight="1" x14ac:dyDescent="0.25"/>
    <row r="37" spans="1:1" s="1" customFormat="1" x14ac:dyDescent="0.25">
      <c r="A37" s="106"/>
    </row>
    <row r="38" spans="1:1" s="1" customFormat="1" x14ac:dyDescent="0.25">
      <c r="A38" s="106"/>
    </row>
  </sheetData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topLeftCell="A3" zoomScale="75" zoomScaleNormal="75" workbookViewId="0">
      <selection activeCell="F14" sqref="F14:I16"/>
    </sheetView>
  </sheetViews>
  <sheetFormatPr defaultRowHeight="15" x14ac:dyDescent="0.25"/>
  <cols>
    <col min="1" max="1" width="8.7109375" customWidth="1"/>
    <col min="2" max="2" width="30.7109375" customWidth="1"/>
    <col min="3" max="3" width="10.1406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 x14ac:dyDescent="0.3">
      <c r="A4" s="155" t="s">
        <v>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5" ht="7.5" customHeight="1" x14ac:dyDescent="0.25"/>
    <row r="6" spans="1:15" ht="17.25" x14ac:dyDescent="0.3">
      <c r="A6" s="121" t="s">
        <v>115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5" ht="7.5" customHeight="1" x14ac:dyDescent="0.25"/>
    <row r="8" spans="1:15" s="1" customFormat="1" ht="20.25" customHeight="1" x14ac:dyDescent="0.25">
      <c r="A8" s="157" t="s">
        <v>11</v>
      </c>
      <c r="B8" s="158" t="s">
        <v>10</v>
      </c>
      <c r="C8" s="161" t="s">
        <v>21</v>
      </c>
      <c r="D8" s="158" t="s">
        <v>4</v>
      </c>
      <c r="E8" s="163" t="s">
        <v>80</v>
      </c>
      <c r="F8" s="165" t="s">
        <v>79</v>
      </c>
      <c r="G8" s="166"/>
      <c r="H8" s="166"/>
      <c r="I8" s="167"/>
      <c r="J8" s="159" t="s">
        <v>18</v>
      </c>
      <c r="K8" s="157" t="s">
        <v>9</v>
      </c>
      <c r="L8" s="157"/>
    </row>
    <row r="9" spans="1:15" s="1" customFormat="1" ht="27.75" customHeight="1" thickBot="1" x14ac:dyDescent="0.3">
      <c r="A9" s="157"/>
      <c r="B9" s="158"/>
      <c r="C9" s="162"/>
      <c r="D9" s="158"/>
      <c r="E9" s="164"/>
      <c r="F9" s="23" t="s">
        <v>73</v>
      </c>
      <c r="G9" s="23" t="s">
        <v>74</v>
      </c>
      <c r="H9" s="23" t="s">
        <v>78</v>
      </c>
      <c r="I9" s="21" t="s">
        <v>76</v>
      </c>
      <c r="J9" s="160"/>
      <c r="K9" s="19" t="s">
        <v>8</v>
      </c>
      <c r="L9" s="19" t="s">
        <v>7</v>
      </c>
      <c r="M9" s="40" t="s">
        <v>77</v>
      </c>
      <c r="N9" s="40" t="s">
        <v>84</v>
      </c>
    </row>
    <row r="10" spans="1:15" s="2" customFormat="1" ht="30" customHeight="1" thickBot="1" x14ac:dyDescent="0.3">
      <c r="A10" s="22">
        <v>1</v>
      </c>
      <c r="B10" s="6" t="s">
        <v>52</v>
      </c>
      <c r="C10" s="5">
        <v>33</v>
      </c>
      <c r="D10" s="5">
        <v>38</v>
      </c>
      <c r="E10" s="58">
        <f>D10</f>
        <v>38</v>
      </c>
      <c r="F10" s="43">
        <v>41.84</v>
      </c>
      <c r="G10" s="74">
        <f>(42.44+42.59+45.45+45.23+43.36+42.46+42.55+43.47+42.54+42.19+42.22+42.28+41.95+42.45+42.04+42.25+42.58+42.31+41.84+42.26+42.55+42.72+45.66+44.04+42.39+42.23+42.18+42.28+42.23+42.41+42.34+43.87+43.07+42.3+42.31+42.29+42.82)/37</f>
        <v>42.76081081081081</v>
      </c>
      <c r="H10" s="69">
        <v>0</v>
      </c>
      <c r="I10" s="57">
        <f>G10-F10</f>
        <v>0.9208108108108064</v>
      </c>
      <c r="J10" s="36">
        <v>1.8912037037037036E-2</v>
      </c>
      <c r="K10" s="36">
        <f>J10</f>
        <v>1.8912037037037036E-2</v>
      </c>
      <c r="L10" s="38">
        <f>K10</f>
        <v>1.8912037037037036E-2</v>
      </c>
      <c r="M10" s="44" t="s">
        <v>116</v>
      </c>
      <c r="N10" s="21">
        <v>-4</v>
      </c>
      <c r="O10" s="2" t="s">
        <v>90</v>
      </c>
    </row>
    <row r="11" spans="1:15" s="2" customFormat="1" ht="30" customHeight="1" thickBot="1" x14ac:dyDescent="0.3">
      <c r="A11" s="22">
        <v>2</v>
      </c>
      <c r="B11" s="6" t="s">
        <v>53</v>
      </c>
      <c r="C11" s="5">
        <v>21</v>
      </c>
      <c r="D11" s="5">
        <v>80</v>
      </c>
      <c r="E11" s="58">
        <f>D11-D10</f>
        <v>42</v>
      </c>
      <c r="F11" s="78">
        <v>41.88</v>
      </c>
      <c r="G11" s="74">
        <f>(42.25+42.09+42.16+44.54+43.88+43.92+43.68+42.14+42.71+42.31+42.18+42.52+42.74+42.46+42.07+42.18+42.09+43.63+42.53+42.12+42.21+42.37+42.21+42.22+42.98+42.24+42.41+42.45+42.7+42.19+42.24+42.35+42.36+42.19+41.88+42.33+42.34+42.36+42.33+42.3+42.13)/41</f>
        <v>42.511951219512198</v>
      </c>
      <c r="H11" s="69">
        <v>0</v>
      </c>
      <c r="I11" s="57">
        <f t="shared" ref="I11:I13" si="0">G11-F11</f>
        <v>0.63195121951219591</v>
      </c>
      <c r="J11" s="36">
        <v>4.0636574074074075E-2</v>
      </c>
      <c r="K11" s="36">
        <f>J11-J10</f>
        <v>2.1724537037037039E-2</v>
      </c>
      <c r="L11" s="36">
        <f>K11</f>
        <v>2.1724537037037039E-2</v>
      </c>
      <c r="M11" s="44" t="s">
        <v>117</v>
      </c>
      <c r="N11" s="21"/>
    </row>
    <row r="12" spans="1:15" s="2" customFormat="1" ht="30" customHeight="1" x14ac:dyDescent="0.25">
      <c r="A12" s="22">
        <v>3</v>
      </c>
      <c r="B12" s="6" t="s">
        <v>52</v>
      </c>
      <c r="C12" s="5">
        <v>6</v>
      </c>
      <c r="D12" s="5">
        <v>117</v>
      </c>
      <c r="E12" s="58">
        <f>D12-D11</f>
        <v>37</v>
      </c>
      <c r="F12" s="70">
        <v>42.06</v>
      </c>
      <c r="G12" s="73">
        <f>(42.58+42.61+42.56+42.77+42.68+42.43+42.51+42.62+42.35+42.22+42.34+42.45+42.26+42.27+42.06+42.35+42.32+42.3+42.66+42.25+42.75+42.42+42.35+42.2+42.38+43.44+42.06+42.31+42.08+42.39+42.28+42.19+42.51+42.36+42.56+42.42)/36</f>
        <v>42.424722222222222</v>
      </c>
      <c r="H12" s="69">
        <v>2</v>
      </c>
      <c r="I12" s="77">
        <f t="shared" si="0"/>
        <v>0.36472222222221973</v>
      </c>
      <c r="J12" s="36">
        <v>5.9641203703703703E-2</v>
      </c>
      <c r="K12" s="36">
        <f>J12-J11</f>
        <v>1.9004629629629628E-2</v>
      </c>
      <c r="L12" s="36">
        <f>K12+K10</f>
        <v>3.7916666666666668E-2</v>
      </c>
      <c r="M12" s="44" t="s">
        <v>118</v>
      </c>
      <c r="N12" s="21"/>
    </row>
    <row r="13" spans="1:15" s="2" customFormat="1" ht="30" customHeight="1" x14ac:dyDescent="0.25">
      <c r="A13" s="14" t="s">
        <v>17</v>
      </c>
      <c r="B13" s="11" t="s">
        <v>53</v>
      </c>
      <c r="C13" s="12">
        <v>69</v>
      </c>
      <c r="D13" s="12">
        <v>164</v>
      </c>
      <c r="E13" s="58">
        <f>D13-D12</f>
        <v>47</v>
      </c>
      <c r="F13" s="69">
        <v>42.2</v>
      </c>
      <c r="G13" s="73">
        <f>(43.11+42.54+42.55+42.53+42.41+42.49+42.78+42.65+43.86+42.6+42.45+42.52+42.88+43+42.96+43.41+42.52+43.55+42.81+44.11+42.29+42.61+42.33+42.29+42.2+43.26+42.23+43.96+42.85+42.49+42.53+42.56+43.17+43.94+42.39+42.5+42.74+42.43+42.75+43.03+44.32+42.38+42.48+42.65+42.74+42.79)/46</f>
        <v>42.818260869565222</v>
      </c>
      <c r="H13" s="69">
        <v>3</v>
      </c>
      <c r="I13" s="46">
        <f t="shared" si="0"/>
        <v>0.6182608695652192</v>
      </c>
      <c r="J13" s="72">
        <v>8.3611111111111122E-2</v>
      </c>
      <c r="K13" s="72">
        <f>J13-J12</f>
        <v>2.3969907407407419E-2</v>
      </c>
      <c r="L13" s="72">
        <f>K13+K11</f>
        <v>4.5694444444444454E-2</v>
      </c>
      <c r="M13" s="44"/>
      <c r="N13" s="21"/>
    </row>
    <row r="14" spans="1:15" s="2" customFormat="1" ht="30" customHeight="1" x14ac:dyDescent="0.25">
      <c r="A14" s="53"/>
      <c r="B14" s="54"/>
      <c r="C14" s="55"/>
      <c r="D14" s="55"/>
      <c r="E14" s="55"/>
      <c r="F14" s="83">
        <f>AVERAGE(F10,F12)</f>
        <v>41.95</v>
      </c>
      <c r="G14" s="83">
        <f>AVERAGE(G10,G12)</f>
        <v>42.592766516516519</v>
      </c>
      <c r="H14" s="83" t="s">
        <v>129</v>
      </c>
      <c r="I14" s="83">
        <f>AVERAGE(I10,I12)</f>
        <v>0.64276651651651306</v>
      </c>
      <c r="J14" s="55"/>
      <c r="K14" s="55"/>
      <c r="L14" s="55"/>
    </row>
    <row r="15" spans="1:15" s="2" customFormat="1" ht="30" customHeight="1" x14ac:dyDescent="0.25">
      <c r="A15" s="50"/>
      <c r="B15" s="51"/>
      <c r="C15" s="51"/>
      <c r="D15" s="52"/>
      <c r="E15" s="1"/>
      <c r="F15" s="83">
        <f>AVERAGE(F11,F13)</f>
        <v>42.040000000000006</v>
      </c>
      <c r="G15" s="83">
        <f>AVERAGE(G11,G13)</f>
        <v>42.66510604453871</v>
      </c>
      <c r="H15" s="83" t="s">
        <v>130</v>
      </c>
      <c r="I15" s="83">
        <f>AVERAGE(I11,I13)</f>
        <v>0.62510604453870755</v>
      </c>
      <c r="J15" s="52"/>
      <c r="K15" s="52"/>
      <c r="L15" s="52"/>
    </row>
    <row r="16" spans="1:15" ht="27.75" customHeight="1" x14ac:dyDescent="0.25">
      <c r="F16" s="118">
        <f>AVERAGE(F10:F13)</f>
        <v>41.995000000000005</v>
      </c>
      <c r="G16" s="118">
        <f>AVERAGE(G10:G13)</f>
        <v>42.628936280527611</v>
      </c>
      <c r="H16" s="118"/>
      <c r="I16" s="118">
        <f>AVERAGE(I10:I13)</f>
        <v>0.63393628052761031</v>
      </c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topLeftCell="A4" zoomScale="75" zoomScaleNormal="75" workbookViewId="0">
      <selection activeCell="F14" sqref="F14:I16"/>
    </sheetView>
  </sheetViews>
  <sheetFormatPr defaultRowHeight="15" x14ac:dyDescent="0.25"/>
  <cols>
    <col min="1" max="1" width="8.7109375" customWidth="1"/>
    <col min="2" max="2" width="30.7109375" customWidth="1"/>
    <col min="3" max="3" width="9.8554687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9.28515625" customWidth="1"/>
    <col min="14" max="14" width="12.42578125" customWidth="1"/>
  </cols>
  <sheetData>
    <row r="4" spans="1:15" ht="18.75" x14ac:dyDescent="0.3">
      <c r="A4" s="155" t="s">
        <v>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5" ht="7.5" customHeight="1" x14ac:dyDescent="0.25"/>
    <row r="6" spans="1:15" ht="17.25" x14ac:dyDescent="0.3">
      <c r="A6" s="121" t="s">
        <v>42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5" ht="7.5" customHeight="1" x14ac:dyDescent="0.25"/>
    <row r="8" spans="1:15" s="1" customFormat="1" ht="20.25" customHeight="1" x14ac:dyDescent="0.25">
      <c r="A8" s="157" t="s">
        <v>11</v>
      </c>
      <c r="B8" s="158" t="s">
        <v>10</v>
      </c>
      <c r="C8" s="161" t="s">
        <v>21</v>
      </c>
      <c r="D8" s="158" t="s">
        <v>4</v>
      </c>
      <c r="E8" s="163" t="s">
        <v>80</v>
      </c>
      <c r="F8" s="165" t="s">
        <v>79</v>
      </c>
      <c r="G8" s="166"/>
      <c r="H8" s="166"/>
      <c r="I8" s="167"/>
      <c r="J8" s="159" t="s">
        <v>18</v>
      </c>
      <c r="K8" s="157" t="s">
        <v>9</v>
      </c>
      <c r="L8" s="157"/>
    </row>
    <row r="9" spans="1:15" s="1" customFormat="1" ht="27.75" customHeight="1" x14ac:dyDescent="0.25">
      <c r="A9" s="157"/>
      <c r="B9" s="158"/>
      <c r="C9" s="162"/>
      <c r="D9" s="158"/>
      <c r="E9" s="164"/>
      <c r="F9" s="23" t="s">
        <v>73</v>
      </c>
      <c r="G9" s="23" t="s">
        <v>74</v>
      </c>
      <c r="H9" s="23" t="s">
        <v>78</v>
      </c>
      <c r="I9" s="23" t="s">
        <v>76</v>
      </c>
      <c r="J9" s="160"/>
      <c r="K9" s="19" t="s">
        <v>8</v>
      </c>
      <c r="L9" s="19" t="s">
        <v>7</v>
      </c>
      <c r="M9" s="40" t="s">
        <v>77</v>
      </c>
      <c r="N9" s="40" t="s">
        <v>84</v>
      </c>
    </row>
    <row r="10" spans="1:15" s="2" customFormat="1" ht="30" customHeight="1" x14ac:dyDescent="0.25">
      <c r="A10" s="22">
        <v>1</v>
      </c>
      <c r="B10" s="6" t="s">
        <v>43</v>
      </c>
      <c r="C10" s="5">
        <v>21</v>
      </c>
      <c r="D10" s="5">
        <v>33</v>
      </c>
      <c r="E10" s="58">
        <f>D10</f>
        <v>33</v>
      </c>
      <c r="F10" s="69">
        <v>42.01</v>
      </c>
      <c r="G10" s="73">
        <f>(43.3+42.46+43.96+43.81+42.83+43.89+43.2+43.2+42.43+42.03+42.4+42.03+43.09+43.05+42.07+42.25+42.41+44.56+43.1+42.01+42.38+42.56+42.52+44.31+42.28+44.12+42.64+42.67+42.35+42.71+42.39+42.45)/32</f>
        <v>42.858125000000001</v>
      </c>
      <c r="H10" s="69">
        <v>5</v>
      </c>
      <c r="I10" s="73">
        <f>G10-F10</f>
        <v>0.84812500000000313</v>
      </c>
      <c r="J10" s="36">
        <v>1.6481481481481482E-2</v>
      </c>
      <c r="K10" s="36">
        <f>J10</f>
        <v>1.6481481481481482E-2</v>
      </c>
      <c r="L10" s="38">
        <f>K10</f>
        <v>1.6481481481481482E-2</v>
      </c>
      <c r="M10" s="44" t="s">
        <v>112</v>
      </c>
      <c r="N10" s="21">
        <v>-8</v>
      </c>
      <c r="O10" s="2" t="s">
        <v>90</v>
      </c>
    </row>
    <row r="11" spans="1:15" s="2" customFormat="1" ht="30" customHeight="1" thickBot="1" x14ac:dyDescent="0.3">
      <c r="A11" s="22">
        <v>2</v>
      </c>
      <c r="B11" s="6" t="s">
        <v>45</v>
      </c>
      <c r="C11" s="5">
        <v>1</v>
      </c>
      <c r="D11" s="5">
        <v>73</v>
      </c>
      <c r="E11" s="58">
        <f>D11-D10</f>
        <v>40</v>
      </c>
      <c r="F11" s="71">
        <v>42.67</v>
      </c>
      <c r="G11" s="73">
        <f>(45.25+42.96+42.98+43.06+44.84+43.22+42.92+42.79+42.84+43.44+43.66+70.86+42.92+45.65+43.04+42.67+43.51+42.83+42.99+42.68+42.9+43.11+42.86+43.2+43.11+42.76+43.08+43.78+43.39+42.98+43.7+43.19+42.97+44.09+44.18+42.73+43.03+42.73+43.36)/39</f>
        <v>44.006666666666661</v>
      </c>
      <c r="H11" s="69">
        <v>4</v>
      </c>
      <c r="I11" s="73">
        <f t="shared" ref="I11:I13" si="0">G11-F11</f>
        <v>1.3366666666666589</v>
      </c>
      <c r="J11" s="36">
        <v>3.7824074074074072E-2</v>
      </c>
      <c r="K11" s="36">
        <f>J11-J10</f>
        <v>2.134259259259259E-2</v>
      </c>
      <c r="L11" s="36">
        <f>K11</f>
        <v>2.134259259259259E-2</v>
      </c>
      <c r="M11" s="44" t="s">
        <v>113</v>
      </c>
      <c r="N11" s="21"/>
    </row>
    <row r="12" spans="1:15" s="2" customFormat="1" ht="30" customHeight="1" thickBot="1" x14ac:dyDescent="0.3">
      <c r="A12" s="22">
        <v>3</v>
      </c>
      <c r="B12" s="6" t="s">
        <v>43</v>
      </c>
      <c r="C12" s="5">
        <v>6</v>
      </c>
      <c r="D12" s="5">
        <v>116</v>
      </c>
      <c r="E12" s="58">
        <f>D12-D11</f>
        <v>43</v>
      </c>
      <c r="F12" s="43">
        <v>41.9</v>
      </c>
      <c r="G12" s="74">
        <f>(42.42+41.91+42.53+42.33+42.61+42.5+42.58+42.98+42.4+42.17+42.38+42.34+42.44+42.05+42.23+42.39+42.33+41.9+42.44+42.83+42.14+42.27+42.42+41.96+42.58+43.25+42.11+42.07+42.53+42.33+42.42+42.7+42.31+42.09+42.28+42.36+42.22+42.12+43.37+42.52+42.03+42.56)/42</f>
        <v>42.390476190476171</v>
      </c>
      <c r="H12" s="69">
        <v>2</v>
      </c>
      <c r="I12" s="77">
        <f t="shared" si="0"/>
        <v>0.49047619047617275</v>
      </c>
      <c r="J12" s="36">
        <v>5.9652777777777777E-2</v>
      </c>
      <c r="K12" s="36">
        <f>J12-J11</f>
        <v>2.1828703703703704E-2</v>
      </c>
      <c r="L12" s="38">
        <f>K12+K10</f>
        <v>3.8310185185185183E-2</v>
      </c>
      <c r="M12" s="44" t="s">
        <v>114</v>
      </c>
      <c r="N12" s="21"/>
    </row>
    <row r="13" spans="1:15" s="2" customFormat="1" ht="30" customHeight="1" x14ac:dyDescent="0.25">
      <c r="A13" s="14" t="s">
        <v>17</v>
      </c>
      <c r="B13" s="11" t="s">
        <v>45</v>
      </c>
      <c r="C13" s="12">
        <v>13</v>
      </c>
      <c r="D13" s="12">
        <v>163</v>
      </c>
      <c r="E13" s="58">
        <f>D13-D12</f>
        <v>47</v>
      </c>
      <c r="F13" s="85">
        <v>42.05</v>
      </c>
      <c r="G13" s="82">
        <f>(42.4+42.37+42.48+42.64+42.1+42.26+42.17+42.58+42.89+42.98+42.39+42.36+42.87+42.97+42.96+43.27+42.71+43.52+42.82+42.42+42.51+43.2+42.6+44.01+42.23+42.28+42.05+43.12+42.17+42.25+43.6+42.56+44.02+43.18+42.28+42.28+42.33+42.2+42.55+44.19+45.86+42.38+42.52+42.45+42.3+42.51)/46</f>
        <v>42.756304347826081</v>
      </c>
      <c r="H13" s="71">
        <v>2</v>
      </c>
      <c r="I13" s="89">
        <f t="shared" si="0"/>
        <v>0.70630434782608376</v>
      </c>
      <c r="J13" s="72">
        <v>8.3622685185185189E-2</v>
      </c>
      <c r="K13" s="72">
        <f>J13-J12</f>
        <v>2.3969907407407412E-2</v>
      </c>
      <c r="L13" s="72">
        <f>K13+K11</f>
        <v>4.5312500000000006E-2</v>
      </c>
      <c r="M13" s="44"/>
      <c r="N13" s="21"/>
    </row>
    <row r="14" spans="1:15" s="2" customFormat="1" ht="30" customHeight="1" x14ac:dyDescent="0.25">
      <c r="A14" s="53"/>
      <c r="B14" s="54"/>
      <c r="C14" s="55"/>
      <c r="D14" s="55"/>
      <c r="E14" s="55"/>
      <c r="F14" s="83">
        <f>AVERAGE(F10,F12)</f>
        <v>41.954999999999998</v>
      </c>
      <c r="G14" s="83">
        <f>AVERAGE(G10,G12)</f>
        <v>42.624300595238083</v>
      </c>
      <c r="H14" s="83" t="s">
        <v>129</v>
      </c>
      <c r="I14" s="83">
        <f>AVERAGE(I10,I12)</f>
        <v>0.66930059523808794</v>
      </c>
      <c r="J14" s="55"/>
      <c r="K14" s="55"/>
      <c r="L14" s="55"/>
    </row>
    <row r="15" spans="1:15" ht="27.75" customHeight="1" x14ac:dyDescent="0.25">
      <c r="F15" s="83">
        <f>AVERAGE(F11,F13)</f>
        <v>42.36</v>
      </c>
      <c r="G15" s="83">
        <f>AVERAGE(G11,G13)</f>
        <v>43.381485507246367</v>
      </c>
      <c r="H15" s="83" t="s">
        <v>130</v>
      </c>
      <c r="I15" s="83">
        <f>AVERAGE(I11,I13)</f>
        <v>1.0214855072463713</v>
      </c>
      <c r="M15" s="2"/>
      <c r="N15" s="2"/>
    </row>
    <row r="16" spans="1:15" ht="27" customHeight="1" x14ac:dyDescent="0.25">
      <c r="F16" s="118">
        <f>AVERAGE(F10:F13)</f>
        <v>42.157499999999999</v>
      </c>
      <c r="G16" s="118">
        <f>AVERAGE(G10:G13)</f>
        <v>43.002893051242225</v>
      </c>
      <c r="H16" s="118"/>
      <c r="I16" s="118">
        <f>AVERAGE(I10:I13)</f>
        <v>0.84539305124222963</v>
      </c>
    </row>
    <row r="17" spans="6:14" x14ac:dyDescent="0.25">
      <c r="F17" s="119"/>
      <c r="G17" s="119"/>
      <c r="H17" s="119"/>
      <c r="I17" s="119"/>
      <c r="J17" s="65"/>
    </row>
    <row r="18" spans="6:14" x14ac:dyDescent="0.25">
      <c r="F18" s="65"/>
      <c r="G18" s="65"/>
      <c r="H18" s="65"/>
      <c r="I18" s="65"/>
      <c r="J18" s="65"/>
    </row>
    <row r="19" spans="6:14" x14ac:dyDescent="0.25">
      <c r="F19" s="65"/>
      <c r="G19" s="65"/>
      <c r="H19" s="65"/>
      <c r="I19" s="65"/>
      <c r="J19" s="65"/>
      <c r="M19" s="1"/>
      <c r="N19" s="1"/>
    </row>
    <row r="20" spans="6:14" x14ac:dyDescent="0.25">
      <c r="M20" s="2"/>
      <c r="N20" s="2"/>
    </row>
    <row r="21" spans="6:14" x14ac:dyDescent="0.25">
      <c r="M21" s="2"/>
      <c r="N21" s="2"/>
    </row>
    <row r="22" spans="6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topLeftCell="A3" zoomScale="75" zoomScaleNormal="75" workbookViewId="0">
      <selection activeCell="G31" sqref="G31"/>
    </sheetView>
  </sheetViews>
  <sheetFormatPr defaultRowHeight="15" x14ac:dyDescent="0.25"/>
  <cols>
    <col min="1" max="1" width="8.7109375" customWidth="1"/>
    <col min="2" max="2" width="30.7109375" customWidth="1"/>
    <col min="3" max="3" width="10.1406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3" max="13" width="9.28515625" customWidth="1"/>
    <col min="14" max="14" width="12.42578125" customWidth="1"/>
  </cols>
  <sheetData>
    <row r="4" spans="1:14" ht="18.75" x14ac:dyDescent="0.3">
      <c r="A4" s="155" t="s">
        <v>20</v>
      </c>
      <c r="B4" s="155"/>
      <c r="C4" s="155"/>
      <c r="D4" s="155"/>
      <c r="E4" s="155"/>
      <c r="F4" s="155"/>
      <c r="G4" s="155"/>
      <c r="H4" s="155"/>
      <c r="I4" s="155"/>
    </row>
    <row r="5" spans="1:14" ht="7.5" customHeight="1" x14ac:dyDescent="0.25"/>
    <row r="6" spans="1:14" ht="17.25" x14ac:dyDescent="0.3">
      <c r="A6" s="156" t="s">
        <v>56</v>
      </c>
      <c r="B6" s="121"/>
      <c r="C6" s="121"/>
      <c r="D6" s="121"/>
      <c r="E6" s="121"/>
      <c r="F6" s="121"/>
      <c r="G6" s="121"/>
      <c r="H6" s="121"/>
      <c r="I6" s="121"/>
    </row>
    <row r="7" spans="1:14" ht="7.5" customHeight="1" x14ac:dyDescent="0.25"/>
    <row r="8" spans="1:14" s="1" customFormat="1" ht="23.25" customHeight="1" x14ac:dyDescent="0.25">
      <c r="A8" s="157" t="s">
        <v>11</v>
      </c>
      <c r="B8" s="158" t="s">
        <v>10</v>
      </c>
      <c r="C8" s="161" t="s">
        <v>71</v>
      </c>
      <c r="D8" s="158" t="s">
        <v>4</v>
      </c>
      <c r="E8" s="163" t="s">
        <v>80</v>
      </c>
      <c r="F8" s="165" t="s">
        <v>79</v>
      </c>
      <c r="G8" s="166"/>
      <c r="H8" s="166"/>
      <c r="I8" s="167"/>
      <c r="J8" s="159" t="s">
        <v>18</v>
      </c>
      <c r="K8" s="157" t="s">
        <v>9</v>
      </c>
      <c r="L8" s="157"/>
    </row>
    <row r="9" spans="1:14" s="1" customFormat="1" ht="27.75" customHeight="1" x14ac:dyDescent="0.25">
      <c r="A9" s="157"/>
      <c r="B9" s="158"/>
      <c r="C9" s="162"/>
      <c r="D9" s="158"/>
      <c r="E9" s="164"/>
      <c r="F9" s="21" t="s">
        <v>73</v>
      </c>
      <c r="G9" s="21" t="s">
        <v>74</v>
      </c>
      <c r="H9" s="21" t="s">
        <v>78</v>
      </c>
      <c r="I9" s="21" t="s">
        <v>76</v>
      </c>
      <c r="J9" s="160"/>
      <c r="K9" s="19" t="s">
        <v>8</v>
      </c>
      <c r="L9" s="19" t="s">
        <v>7</v>
      </c>
      <c r="M9" s="40" t="s">
        <v>77</v>
      </c>
      <c r="N9" s="40" t="s">
        <v>84</v>
      </c>
    </row>
    <row r="10" spans="1:14" s="2" customFormat="1" ht="30" customHeight="1" thickBot="1" x14ac:dyDescent="0.3">
      <c r="A10" s="22">
        <v>1</v>
      </c>
      <c r="B10" s="6" t="s">
        <v>58</v>
      </c>
      <c r="C10" s="5">
        <v>2</v>
      </c>
      <c r="D10" s="5">
        <v>26</v>
      </c>
      <c r="E10" s="56">
        <f>D10</f>
        <v>26</v>
      </c>
      <c r="F10" s="61">
        <v>42.05</v>
      </c>
      <c r="G10" s="57">
        <f>(42.91+42.66+43.62+43.48+42.62+44.16+43.13+42.64+42.4+42.05+42.4+42.16+42.45+42.33+42.88+42.39+42.65+43.87+42.4+42.83+42.58+42.49+43.44+45.31+43.24)/25</f>
        <v>42.923599999999993</v>
      </c>
      <c r="H10" s="56">
        <v>0</v>
      </c>
      <c r="I10" s="41">
        <f>G10-F10</f>
        <v>0.87359999999999616</v>
      </c>
      <c r="J10" s="35">
        <v>1.3032407407407407E-2</v>
      </c>
      <c r="K10" s="35">
        <f>J10</f>
        <v>1.3032407407407407E-2</v>
      </c>
      <c r="L10" s="37">
        <f>K10</f>
        <v>1.3032407407407407E-2</v>
      </c>
      <c r="M10" s="44" t="s">
        <v>87</v>
      </c>
      <c r="N10" s="21"/>
    </row>
    <row r="11" spans="1:14" s="2" customFormat="1" ht="30" customHeight="1" thickBot="1" x14ac:dyDescent="0.3">
      <c r="A11" s="22">
        <v>2</v>
      </c>
      <c r="B11" s="6" t="s">
        <v>57</v>
      </c>
      <c r="C11" s="5">
        <v>4</v>
      </c>
      <c r="D11" s="5">
        <v>66</v>
      </c>
      <c r="E11" s="58">
        <f>D11-D10</f>
        <v>40</v>
      </c>
      <c r="F11" s="62">
        <v>42.57</v>
      </c>
      <c r="G11" s="59">
        <f>(43.61+43.03+43.54+42.87+43.22+43.67+43.74+42.8+42.59+42.88+43.06+43.5+43.4+43.17+42.57+43.21+43.08+42.98+43.22+43.1+42.93+42.88+43.12+42.58+43.08+42.78+42.92+42.95+43.03+42.82+44.63+43.01+42.8+42.87+43.11+43.01+42.76+42.93+43.32)/39</f>
        <v>43.096666666666657</v>
      </c>
      <c r="H11" s="56">
        <v>2</v>
      </c>
      <c r="I11" s="57">
        <f t="shared" ref="I11:I13" si="0">G11-F11</f>
        <v>0.52666666666665662</v>
      </c>
      <c r="J11" s="35">
        <v>3.4074074074074076E-2</v>
      </c>
      <c r="K11" s="35">
        <f>J11-J10</f>
        <v>2.1041666666666667E-2</v>
      </c>
      <c r="L11" s="37">
        <f>K11</f>
        <v>2.1041666666666667E-2</v>
      </c>
      <c r="M11" s="44" t="s">
        <v>88</v>
      </c>
      <c r="N11" s="21"/>
    </row>
    <row r="12" spans="1:14" s="2" customFormat="1" ht="30" customHeight="1" thickBot="1" x14ac:dyDescent="0.3">
      <c r="A12" s="22">
        <v>3</v>
      </c>
      <c r="B12" s="6" t="s">
        <v>58</v>
      </c>
      <c r="C12" s="5">
        <v>8</v>
      </c>
      <c r="D12" s="5">
        <v>121</v>
      </c>
      <c r="E12" s="58">
        <f>D12-D11</f>
        <v>55</v>
      </c>
      <c r="F12" s="43">
        <v>41.81</v>
      </c>
      <c r="G12" s="59">
        <f>(42.94+42.59+42.59+42.48+42.54+42.42+42.43+42.31+42.35+42.35+42.37+42.31+42.28+42.95+44.18+42.65+42.09+42.36+42.4+42.3+42.48+42.25+42.64+42.39+42.05+42.25+42.41+42.02+42.17+42.11+42.4+42.28+41.97+42.07+42.08+41.81+42.09+42.21+42.14+42.39+42.36+42.01+42.08+42.37+42.32+42.18+42.2+42.18+42.34+42+41.82+42.01+42.84+43.36)/54</f>
        <v>42.355000000000011</v>
      </c>
      <c r="H12" s="56">
        <v>1</v>
      </c>
      <c r="I12" s="47">
        <f t="shared" si="0"/>
        <v>0.54500000000000881</v>
      </c>
      <c r="J12" s="35">
        <v>6.1863425925925926E-2</v>
      </c>
      <c r="K12" s="35">
        <f>J12-J11</f>
        <v>2.778935185185185E-2</v>
      </c>
      <c r="L12" s="35">
        <f>K12+K10</f>
        <v>4.0821759259259259E-2</v>
      </c>
      <c r="M12" s="44" t="s">
        <v>89</v>
      </c>
      <c r="N12" s="21"/>
    </row>
    <row r="13" spans="1:14" s="2" customFormat="1" ht="30" customHeight="1" x14ac:dyDescent="0.25">
      <c r="A13" s="22" t="s">
        <v>17</v>
      </c>
      <c r="B13" s="6" t="s">
        <v>57</v>
      </c>
      <c r="C13" s="5">
        <v>1</v>
      </c>
      <c r="D13" s="5">
        <v>163</v>
      </c>
      <c r="E13" s="56">
        <f>D13-D12</f>
        <v>42</v>
      </c>
      <c r="F13" s="60">
        <v>42.95</v>
      </c>
      <c r="G13" s="57">
        <f>(43.02+43.16+42.97+42.95+43.31+43.34+44.04+43.25+43.18+43.06+43.22+43.21+43.46+43.38+43.45+43.16+43.36+43.11+43.22+43.68+42.96+43.36+43.01+43+43.2+43.93+43.07+43.43+43.26+43.16+43.99+43.75+43.16+43.43+44.15+46.46+43.5+44.71+43.4+43.24+43.67)/41</f>
        <v>43.448048780487824</v>
      </c>
      <c r="H13" s="56">
        <v>3</v>
      </c>
      <c r="I13" s="46">
        <f t="shared" si="0"/>
        <v>0.49804878048782086</v>
      </c>
      <c r="J13" s="35">
        <v>8.368055555555555E-2</v>
      </c>
      <c r="K13" s="35">
        <f>J13-J12</f>
        <v>2.1817129629629624E-2</v>
      </c>
      <c r="L13" s="35">
        <f>K13+K11</f>
        <v>4.2858796296296291E-2</v>
      </c>
      <c r="M13" s="44"/>
      <c r="N13" s="21"/>
    </row>
    <row r="14" spans="1:14" s="2" customFormat="1" ht="30" hidden="1" customHeight="1" x14ac:dyDescent="0.25">
      <c r="A14" s="14"/>
      <c r="B14" s="11"/>
      <c r="C14" s="12"/>
      <c r="D14" s="12"/>
      <c r="E14" s="55"/>
      <c r="F14" s="5">
        <f>AVERAGE(F10:F13)</f>
        <v>42.344999999999999</v>
      </c>
      <c r="G14" s="41">
        <f>AVERAGE(G10:G13)</f>
        <v>42.955828861788625</v>
      </c>
      <c r="H14" s="12"/>
      <c r="I14" s="41">
        <f>AVERAGE(I10:I13)</f>
        <v>0.61082886178862061</v>
      </c>
      <c r="J14" s="12"/>
      <c r="K14" s="12"/>
      <c r="L14" s="12"/>
    </row>
    <row r="15" spans="1:14" s="2" customFormat="1" ht="30" customHeight="1" x14ac:dyDescent="0.25">
      <c r="A15" s="53"/>
      <c r="B15" s="54"/>
      <c r="C15" s="54"/>
      <c r="D15" s="55"/>
      <c r="E15" s="55"/>
      <c r="F15" s="83">
        <f>AVERAGE(F11,F13)</f>
        <v>42.760000000000005</v>
      </c>
      <c r="G15" s="83">
        <f>AVERAGE(G11,G13)</f>
        <v>43.272357723577244</v>
      </c>
      <c r="H15" s="83" t="s">
        <v>129</v>
      </c>
      <c r="I15" s="83">
        <f>AVERAGE(I11,I13)</f>
        <v>0.51235772357723874</v>
      </c>
      <c r="J15" s="55"/>
      <c r="K15" s="55"/>
      <c r="L15" s="55"/>
    </row>
    <row r="16" spans="1:14" ht="27.75" customHeight="1" x14ac:dyDescent="0.25">
      <c r="A16" s="64"/>
      <c r="B16" s="64"/>
      <c r="C16" s="64"/>
      <c r="D16" s="65"/>
      <c r="E16" s="65"/>
      <c r="F16" s="83">
        <f>AVERAGE(F12,F14)</f>
        <v>42.077500000000001</v>
      </c>
      <c r="G16" s="83">
        <f>AVERAGE(G12,G14)</f>
        <v>42.655414430894318</v>
      </c>
      <c r="H16" s="83" t="s">
        <v>130</v>
      </c>
      <c r="I16" s="83">
        <f>AVERAGE(I12,I14)</f>
        <v>0.57791443089431471</v>
      </c>
      <c r="J16" s="64"/>
      <c r="K16" s="64"/>
      <c r="L16" s="64"/>
    </row>
    <row r="17" spans="1:9" s="2" customFormat="1" ht="27" customHeight="1" x14ac:dyDescent="0.25">
      <c r="D17" s="29"/>
      <c r="E17" s="29"/>
      <c r="F17" s="118">
        <f>AVERAGE(F11:F14)</f>
        <v>42.418750000000003</v>
      </c>
      <c r="G17" s="118">
        <f>AVERAGE(G11:G14)</f>
        <v>42.963886077235784</v>
      </c>
      <c r="H17" s="118"/>
      <c r="I17" s="118">
        <f>AVERAGE(I11:I14)</f>
        <v>0.54513607723577673</v>
      </c>
    </row>
    <row r="18" spans="1:9" ht="20.25" hidden="1" customHeight="1" x14ac:dyDescent="0.25">
      <c r="A18" s="158" t="s">
        <v>6</v>
      </c>
      <c r="B18" s="150" t="s">
        <v>5</v>
      </c>
      <c r="C18" s="22"/>
      <c r="D18" s="150" t="s">
        <v>4</v>
      </c>
      <c r="E18" s="14"/>
      <c r="F18" s="14"/>
      <c r="G18" s="14"/>
      <c r="H18" s="14"/>
      <c r="I18" s="14"/>
    </row>
    <row r="19" spans="1:9" s="1" customFormat="1" ht="20.25" hidden="1" customHeight="1" x14ac:dyDescent="0.25">
      <c r="A19" s="158"/>
      <c r="B19" s="150"/>
      <c r="C19" s="22"/>
      <c r="D19" s="150"/>
      <c r="E19" s="13"/>
      <c r="F19" s="13"/>
      <c r="G19" s="13"/>
      <c r="H19" s="13"/>
      <c r="I19" s="13"/>
    </row>
    <row r="20" spans="1:9" s="2" customFormat="1" ht="30" hidden="1" customHeight="1" x14ac:dyDescent="0.25">
      <c r="A20" s="22">
        <v>1</v>
      </c>
      <c r="B20" s="4"/>
      <c r="C20" s="4"/>
      <c r="D20" s="22"/>
      <c r="E20" s="22"/>
      <c r="F20" s="22"/>
      <c r="G20" s="22"/>
      <c r="H20" s="22"/>
      <c r="I20" s="22"/>
    </row>
    <row r="21" spans="1:9" s="2" customFormat="1" ht="30" hidden="1" customHeight="1" x14ac:dyDescent="0.25">
      <c r="A21" s="22">
        <v>2</v>
      </c>
      <c r="B21" s="4"/>
      <c r="C21" s="4"/>
      <c r="D21" s="22"/>
      <c r="E21" s="22"/>
      <c r="F21" s="22"/>
      <c r="G21" s="22"/>
      <c r="H21" s="22"/>
      <c r="I21" s="22"/>
    </row>
    <row r="22" spans="1:9" s="2" customFormat="1" ht="30" hidden="1" customHeight="1" x14ac:dyDescent="0.25">
      <c r="A22" s="22">
        <v>3</v>
      </c>
      <c r="B22" s="4"/>
      <c r="C22" s="4"/>
      <c r="D22" s="22"/>
      <c r="E22" s="22"/>
      <c r="F22" s="22"/>
      <c r="G22" s="22"/>
      <c r="H22" s="22"/>
      <c r="I22" s="22"/>
    </row>
  </sheetData>
  <mergeCells count="13">
    <mergeCell ref="A18:A19"/>
    <mergeCell ref="B18:B19"/>
    <mergeCell ref="D18:D19"/>
    <mergeCell ref="A4:I4"/>
    <mergeCell ref="A6:I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6"/>
  <sheetViews>
    <sheetView tabSelected="1" topLeftCell="A7" zoomScale="60" zoomScaleNormal="60" workbookViewId="0">
      <selection activeCell="F26" sqref="F26"/>
    </sheetView>
  </sheetViews>
  <sheetFormatPr defaultRowHeight="15" x14ac:dyDescent="0.25"/>
  <cols>
    <col min="2" max="2" width="35.42578125" customWidth="1"/>
    <col min="3" max="3" width="30.28515625" customWidth="1"/>
    <col min="4" max="4" width="8.42578125" customWidth="1"/>
    <col min="5" max="5" width="11.28515625" customWidth="1"/>
    <col min="6" max="6" width="8.7109375" customWidth="1"/>
    <col min="7" max="7" width="11.28515625" customWidth="1"/>
  </cols>
  <sheetData>
    <row r="1" spans="1:9" ht="48" customHeight="1" x14ac:dyDescent="0.25">
      <c r="A1" s="143" t="s">
        <v>19</v>
      </c>
      <c r="B1" s="143"/>
      <c r="C1" s="143"/>
      <c r="D1" s="143"/>
      <c r="E1" s="143"/>
      <c r="F1" s="143"/>
      <c r="G1" s="143"/>
      <c r="H1" s="143"/>
      <c r="I1" s="143"/>
    </row>
    <row r="2" spans="1:9" ht="5.25" customHeight="1" x14ac:dyDescent="0.25"/>
    <row r="3" spans="1:9" ht="19.5" customHeight="1" x14ac:dyDescent="0.35">
      <c r="A3" s="144" t="s">
        <v>16</v>
      </c>
      <c r="B3" s="144"/>
      <c r="C3" s="144"/>
      <c r="D3" s="144"/>
      <c r="E3" s="144"/>
      <c r="F3" s="144"/>
      <c r="G3" s="144"/>
      <c r="H3" s="144"/>
      <c r="I3" s="144"/>
    </row>
    <row r="4" spans="1:9" ht="15.75" customHeight="1" thickBot="1" x14ac:dyDescent="0.35">
      <c r="A4" s="24"/>
      <c r="B4" s="24"/>
      <c r="C4" s="24"/>
      <c r="D4" s="24"/>
      <c r="E4" s="24"/>
      <c r="F4" s="24"/>
      <c r="G4" s="24"/>
    </row>
    <row r="5" spans="1:9" s="1" customFormat="1" ht="30" customHeight="1" x14ac:dyDescent="0.25">
      <c r="A5" s="138" t="s">
        <v>14</v>
      </c>
      <c r="B5" s="136" t="s">
        <v>12</v>
      </c>
      <c r="C5" s="141" t="s">
        <v>10</v>
      </c>
      <c r="D5" s="141" t="s">
        <v>13</v>
      </c>
      <c r="E5" s="146" t="s">
        <v>15</v>
      </c>
      <c r="F5" s="176" t="s">
        <v>68</v>
      </c>
      <c r="G5" s="177"/>
      <c r="H5" s="177"/>
      <c r="I5" s="178"/>
    </row>
    <row r="6" spans="1:9" s="1" customFormat="1" ht="30" customHeight="1" thickBot="1" x14ac:dyDescent="0.3">
      <c r="A6" s="139"/>
      <c r="B6" s="137"/>
      <c r="C6" s="142"/>
      <c r="D6" s="142"/>
      <c r="E6" s="147"/>
      <c r="F6" s="31" t="s">
        <v>71</v>
      </c>
      <c r="G6" s="117" t="s">
        <v>10</v>
      </c>
      <c r="H6" s="116" t="s">
        <v>70</v>
      </c>
      <c r="I6" s="114" t="s">
        <v>69</v>
      </c>
    </row>
    <row r="7" spans="1:9" s="2" customFormat="1" ht="30" customHeight="1" x14ac:dyDescent="0.25">
      <c r="A7" s="132">
        <v>1</v>
      </c>
      <c r="B7" s="134" t="s">
        <v>41</v>
      </c>
      <c r="C7" s="16" t="s">
        <v>37</v>
      </c>
      <c r="D7" s="28" t="s">
        <v>39</v>
      </c>
      <c r="E7" s="17">
        <v>82</v>
      </c>
      <c r="F7" s="33">
        <v>5</v>
      </c>
      <c r="G7" s="10">
        <v>42.24</v>
      </c>
      <c r="H7" s="149">
        <f>AVERAGE(G7:G8)</f>
        <v>42.445</v>
      </c>
      <c r="I7" s="148">
        <v>8</v>
      </c>
    </row>
    <row r="8" spans="1:9" s="2" customFormat="1" ht="30" customHeight="1" x14ac:dyDescent="0.25">
      <c r="A8" s="133"/>
      <c r="B8" s="135"/>
      <c r="C8" s="15" t="s">
        <v>38</v>
      </c>
      <c r="D8" s="27" t="s">
        <v>40</v>
      </c>
      <c r="E8" s="18">
        <v>70</v>
      </c>
      <c r="F8" s="34">
        <v>2</v>
      </c>
      <c r="G8" s="5">
        <v>42.65</v>
      </c>
      <c r="H8" s="150"/>
      <c r="I8" s="145"/>
    </row>
    <row r="9" spans="1:9" s="2" customFormat="1" ht="30" customHeight="1" x14ac:dyDescent="0.25">
      <c r="A9" s="132">
        <v>2</v>
      </c>
      <c r="B9" s="134" t="s">
        <v>56</v>
      </c>
      <c r="C9" s="16" t="s">
        <v>57</v>
      </c>
      <c r="D9" s="28" t="s">
        <v>59</v>
      </c>
      <c r="E9" s="17">
        <v>65</v>
      </c>
      <c r="F9" s="34">
        <v>5</v>
      </c>
      <c r="G9" s="5">
        <v>43.08</v>
      </c>
      <c r="H9" s="150">
        <f t="shared" ref="H9" si="0">AVERAGE(G9:G10)</f>
        <v>42.744999999999997</v>
      </c>
      <c r="I9" s="145">
        <v>10</v>
      </c>
    </row>
    <row r="10" spans="1:9" s="2" customFormat="1" ht="30" customHeight="1" x14ac:dyDescent="0.25">
      <c r="A10" s="133"/>
      <c r="B10" s="135"/>
      <c r="C10" s="15" t="s">
        <v>58</v>
      </c>
      <c r="D10" s="27" t="s">
        <v>60</v>
      </c>
      <c r="E10" s="18">
        <v>76</v>
      </c>
      <c r="F10" s="34">
        <v>6</v>
      </c>
      <c r="G10" s="5">
        <v>42.41</v>
      </c>
      <c r="H10" s="150"/>
      <c r="I10" s="145"/>
    </row>
    <row r="11" spans="1:9" s="2" customFormat="1" ht="30" customHeight="1" x14ac:dyDescent="0.25">
      <c r="A11" s="133">
        <v>3</v>
      </c>
      <c r="B11" s="135" t="s">
        <v>25</v>
      </c>
      <c r="C11" s="15" t="s">
        <v>26</v>
      </c>
      <c r="D11" s="27" t="s">
        <v>31</v>
      </c>
      <c r="E11" s="18">
        <v>75</v>
      </c>
      <c r="F11" s="34">
        <v>6</v>
      </c>
      <c r="G11" s="5">
        <v>41.99</v>
      </c>
      <c r="H11" s="150">
        <f t="shared" ref="H11" si="1">AVERAGE(G11:G12)</f>
        <v>41.980000000000004</v>
      </c>
      <c r="I11" s="145">
        <v>1</v>
      </c>
    </row>
    <row r="12" spans="1:9" s="2" customFormat="1" ht="30" customHeight="1" x14ac:dyDescent="0.25">
      <c r="A12" s="133"/>
      <c r="B12" s="135"/>
      <c r="C12" s="15" t="s">
        <v>27</v>
      </c>
      <c r="D12" s="27" t="s">
        <v>32</v>
      </c>
      <c r="E12" s="179">
        <v>93</v>
      </c>
      <c r="F12" s="34">
        <v>7</v>
      </c>
      <c r="G12" s="5">
        <v>41.97</v>
      </c>
      <c r="H12" s="150"/>
      <c r="I12" s="145"/>
    </row>
    <row r="13" spans="1:9" s="2" customFormat="1" ht="30" customHeight="1" x14ac:dyDescent="0.25">
      <c r="A13" s="132">
        <v>4</v>
      </c>
      <c r="B13" s="134" t="s">
        <v>47</v>
      </c>
      <c r="C13" s="16" t="s">
        <v>48</v>
      </c>
      <c r="D13" s="28" t="s">
        <v>49</v>
      </c>
      <c r="E13" s="180">
        <v>105</v>
      </c>
      <c r="F13" s="34">
        <v>8</v>
      </c>
      <c r="G13" s="5">
        <v>42.01</v>
      </c>
      <c r="H13" s="150">
        <f t="shared" ref="H13" si="2">AVERAGE(G13:G14)</f>
        <v>42.174999999999997</v>
      </c>
      <c r="I13" s="145">
        <v>4</v>
      </c>
    </row>
    <row r="14" spans="1:9" s="2" customFormat="1" ht="30" customHeight="1" x14ac:dyDescent="0.25">
      <c r="A14" s="133"/>
      <c r="B14" s="135"/>
      <c r="C14" s="15" t="s">
        <v>50</v>
      </c>
      <c r="D14" s="27" t="s">
        <v>51</v>
      </c>
      <c r="E14" s="179">
        <v>95</v>
      </c>
      <c r="F14" s="34">
        <v>7</v>
      </c>
      <c r="G14" s="5">
        <v>42.34</v>
      </c>
      <c r="H14" s="150"/>
      <c r="I14" s="145"/>
    </row>
    <row r="15" spans="1:9" s="2" customFormat="1" ht="30" customHeight="1" x14ac:dyDescent="0.25">
      <c r="A15" s="133">
        <v>5</v>
      </c>
      <c r="B15" s="135">
        <v>46</v>
      </c>
      <c r="C15" s="15" t="s">
        <v>63</v>
      </c>
      <c r="D15" s="27" t="s">
        <v>65</v>
      </c>
      <c r="E15" s="18">
        <v>72</v>
      </c>
      <c r="F15" s="34">
        <v>13</v>
      </c>
      <c r="G15" s="5">
        <v>42.65</v>
      </c>
      <c r="H15" s="150">
        <f t="shared" ref="H15" si="3">AVERAGE(G15:G16)</f>
        <v>42.284999999999997</v>
      </c>
      <c r="I15" s="145">
        <v>6</v>
      </c>
    </row>
    <row r="16" spans="1:9" s="2" customFormat="1" ht="30" customHeight="1" x14ac:dyDescent="0.25">
      <c r="A16" s="151"/>
      <c r="B16" s="152"/>
      <c r="C16" s="67" t="s">
        <v>64</v>
      </c>
      <c r="D16" s="68" t="s">
        <v>66</v>
      </c>
      <c r="E16" s="66">
        <v>62</v>
      </c>
      <c r="F16" s="34">
        <v>8</v>
      </c>
      <c r="G16" s="5">
        <v>41.92</v>
      </c>
      <c r="H16" s="150"/>
      <c r="I16" s="145"/>
    </row>
    <row r="17" spans="1:9" ht="27.75" customHeight="1" x14ac:dyDescent="0.25">
      <c r="A17" s="140">
        <v>6</v>
      </c>
      <c r="B17" s="140" t="s">
        <v>67</v>
      </c>
      <c r="C17" s="4" t="s">
        <v>61</v>
      </c>
      <c r="D17" s="45" t="s">
        <v>44</v>
      </c>
      <c r="E17" s="18">
        <v>81</v>
      </c>
      <c r="F17" s="34">
        <v>13</v>
      </c>
      <c r="G17" s="115">
        <v>41.96</v>
      </c>
      <c r="H17" s="150">
        <f t="shared" ref="H17" si="4">AVERAGE(G17:G18)</f>
        <v>42.08</v>
      </c>
      <c r="I17" s="145">
        <v>3</v>
      </c>
    </row>
    <row r="18" spans="1:9" ht="27.75" customHeight="1" x14ac:dyDescent="0.25">
      <c r="A18" s="140"/>
      <c r="B18" s="140"/>
      <c r="C18" s="4" t="s">
        <v>62</v>
      </c>
      <c r="D18" s="45" t="s">
        <v>46</v>
      </c>
      <c r="E18" s="18">
        <v>70</v>
      </c>
      <c r="F18" s="34">
        <v>21</v>
      </c>
      <c r="G18" s="115">
        <v>42.2</v>
      </c>
      <c r="H18" s="150"/>
      <c r="I18" s="145"/>
    </row>
    <row r="19" spans="1:9" ht="29.25" customHeight="1" x14ac:dyDescent="0.25">
      <c r="A19" s="132">
        <v>7</v>
      </c>
      <c r="B19" s="134" t="s">
        <v>22</v>
      </c>
      <c r="C19" s="16" t="s">
        <v>23</v>
      </c>
      <c r="D19" s="28" t="s">
        <v>33</v>
      </c>
      <c r="E19" s="17">
        <v>66</v>
      </c>
      <c r="F19" s="34">
        <v>33</v>
      </c>
      <c r="G19" s="115">
        <v>41.99</v>
      </c>
      <c r="H19" s="150">
        <f t="shared" ref="H19" si="5">AVERAGE(G19:G20)</f>
        <v>42.07</v>
      </c>
      <c r="I19" s="145">
        <v>2</v>
      </c>
    </row>
    <row r="20" spans="1:9" ht="29.25" customHeight="1" x14ac:dyDescent="0.25">
      <c r="A20" s="133"/>
      <c r="B20" s="135"/>
      <c r="C20" s="15" t="s">
        <v>24</v>
      </c>
      <c r="D20" s="27" t="s">
        <v>34</v>
      </c>
      <c r="E20" s="179">
        <v>86</v>
      </c>
      <c r="F20" s="34">
        <v>21</v>
      </c>
      <c r="G20" s="115">
        <v>42.15</v>
      </c>
      <c r="H20" s="150"/>
      <c r="I20" s="145"/>
    </row>
    <row r="21" spans="1:9" ht="29.25" customHeight="1" x14ac:dyDescent="0.25">
      <c r="A21" s="133">
        <v>8</v>
      </c>
      <c r="B21" s="135" t="s">
        <v>42</v>
      </c>
      <c r="C21" s="15" t="s">
        <v>43</v>
      </c>
      <c r="D21" s="27" t="s">
        <v>44</v>
      </c>
      <c r="E21" s="18">
        <v>80</v>
      </c>
      <c r="F21" s="34">
        <v>33</v>
      </c>
      <c r="G21" s="115">
        <v>42.31</v>
      </c>
      <c r="H21" s="150">
        <f t="shared" ref="H21" si="6">AVERAGE(G21:G22)</f>
        <v>42.255000000000003</v>
      </c>
      <c r="I21" s="145">
        <v>5</v>
      </c>
    </row>
    <row r="22" spans="1:9" ht="29.25" customHeight="1" x14ac:dyDescent="0.25">
      <c r="A22" s="133"/>
      <c r="B22" s="135"/>
      <c r="C22" s="15" t="s">
        <v>45</v>
      </c>
      <c r="D22" s="27" t="s">
        <v>46</v>
      </c>
      <c r="E22" s="179">
        <v>88</v>
      </c>
      <c r="F22" s="34">
        <v>69</v>
      </c>
      <c r="G22" s="115">
        <v>42.2</v>
      </c>
      <c r="H22" s="150"/>
      <c r="I22" s="145"/>
    </row>
    <row r="23" spans="1:9" ht="29.25" customHeight="1" x14ac:dyDescent="0.25">
      <c r="A23" s="132">
        <v>9</v>
      </c>
      <c r="B23" s="134" t="s">
        <v>115</v>
      </c>
      <c r="C23" s="16" t="s">
        <v>53</v>
      </c>
      <c r="D23" s="28" t="s">
        <v>54</v>
      </c>
      <c r="E23" s="17">
        <v>81</v>
      </c>
      <c r="F23" s="34">
        <v>1</v>
      </c>
      <c r="G23" s="115">
        <v>42.83</v>
      </c>
      <c r="H23" s="150">
        <f t="shared" ref="H23" si="7">AVERAGE(G23:G24)</f>
        <v>42.605000000000004</v>
      </c>
      <c r="I23" s="145">
        <v>9</v>
      </c>
    </row>
    <row r="24" spans="1:9" ht="29.25" customHeight="1" x14ac:dyDescent="0.25">
      <c r="A24" s="133"/>
      <c r="B24" s="135"/>
      <c r="C24" s="15" t="s">
        <v>52</v>
      </c>
      <c r="D24" s="27" t="s">
        <v>55</v>
      </c>
      <c r="E24" s="179">
        <v>84</v>
      </c>
      <c r="F24" s="34">
        <v>69</v>
      </c>
      <c r="G24" s="115">
        <v>42.38</v>
      </c>
      <c r="H24" s="150"/>
      <c r="I24" s="145"/>
    </row>
    <row r="25" spans="1:9" ht="29.25" customHeight="1" x14ac:dyDescent="0.25">
      <c r="A25" s="133">
        <v>10</v>
      </c>
      <c r="B25" s="135" t="s">
        <v>28</v>
      </c>
      <c r="C25" s="15" t="s">
        <v>29</v>
      </c>
      <c r="D25" s="27" t="s">
        <v>35</v>
      </c>
      <c r="E25" s="18">
        <v>73</v>
      </c>
      <c r="F25" s="34">
        <v>1</v>
      </c>
      <c r="G25" s="115">
        <v>42.37</v>
      </c>
      <c r="H25" s="150">
        <f t="shared" ref="H25" si="8">AVERAGE(G25:G26)</f>
        <v>42.42</v>
      </c>
      <c r="I25" s="145">
        <v>7</v>
      </c>
    </row>
    <row r="26" spans="1:9" ht="29.25" customHeight="1" thickBot="1" x14ac:dyDescent="0.3">
      <c r="A26" s="133"/>
      <c r="B26" s="135"/>
      <c r="C26" s="15" t="s">
        <v>30</v>
      </c>
      <c r="D26" s="27" t="s">
        <v>36</v>
      </c>
      <c r="E26" s="179">
        <v>85</v>
      </c>
      <c r="F26" s="175">
        <v>2</v>
      </c>
      <c r="G26" s="116">
        <v>42.47</v>
      </c>
      <c r="H26" s="153"/>
      <c r="I26" s="154"/>
    </row>
  </sheetData>
  <mergeCells count="48">
    <mergeCell ref="F5:I5"/>
    <mergeCell ref="I17:I18"/>
    <mergeCell ref="I19:I20"/>
    <mergeCell ref="I21:I22"/>
    <mergeCell ref="I23:I24"/>
    <mergeCell ref="I25:I26"/>
    <mergeCell ref="H17:H18"/>
    <mergeCell ref="H19:H20"/>
    <mergeCell ref="H21:H22"/>
    <mergeCell ref="H23:H24"/>
    <mergeCell ref="H25:H26"/>
    <mergeCell ref="I13:I14"/>
    <mergeCell ref="I15:I16"/>
    <mergeCell ref="A11:A12"/>
    <mergeCell ref="A13:A14"/>
    <mergeCell ref="A15:A16"/>
    <mergeCell ref="B15:B16"/>
    <mergeCell ref="B11:B12"/>
    <mergeCell ref="B13:B14"/>
    <mergeCell ref="H11:H12"/>
    <mergeCell ref="H13:H14"/>
    <mergeCell ref="H15:H16"/>
    <mergeCell ref="D5:D6"/>
    <mergeCell ref="C5:C6"/>
    <mergeCell ref="A1:I1"/>
    <mergeCell ref="A3:I3"/>
    <mergeCell ref="I11:I12"/>
    <mergeCell ref="E5:E6"/>
    <mergeCell ref="I7:I8"/>
    <mergeCell ref="I9:I10"/>
    <mergeCell ref="B7:B8"/>
    <mergeCell ref="B9:B10"/>
    <mergeCell ref="A7:A8"/>
    <mergeCell ref="A9:A10"/>
    <mergeCell ref="H7:H8"/>
    <mergeCell ref="H9:H10"/>
    <mergeCell ref="A23:A24"/>
    <mergeCell ref="B23:B24"/>
    <mergeCell ref="A25:A26"/>
    <mergeCell ref="B25:B26"/>
    <mergeCell ref="B5:B6"/>
    <mergeCell ref="A5:A6"/>
    <mergeCell ref="A17:A18"/>
    <mergeCell ref="B17:B18"/>
    <mergeCell ref="A19:A20"/>
    <mergeCell ref="B19:B20"/>
    <mergeCell ref="A21:A22"/>
    <mergeCell ref="B21:B22"/>
  </mergeCells>
  <phoneticPr fontId="0" type="noConversion"/>
  <pageMargins left="0.31496062992125984" right="0.31496062992125984" top="0.15748031496062992" bottom="0.11811023622047245" header="0.31496062992125984" footer="0.31496062992125984"/>
  <pageSetup paperSize="9" scale="7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topLeftCell="A5" zoomScale="75" zoomScaleNormal="75" workbookViewId="0">
      <selection activeCell="G31" sqref="G31"/>
    </sheetView>
  </sheetViews>
  <sheetFormatPr defaultRowHeight="15" x14ac:dyDescent="0.25"/>
  <cols>
    <col min="1" max="1" width="8.7109375" customWidth="1"/>
    <col min="2" max="2" width="30.7109375" customWidth="1"/>
    <col min="3" max="3" width="9.710937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5.85546875" customWidth="1"/>
    <col min="14" max="14" width="12.42578125" customWidth="1"/>
  </cols>
  <sheetData>
    <row r="4" spans="1:14" ht="18.75" x14ac:dyDescent="0.3">
      <c r="A4" s="155" t="s">
        <v>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4" ht="7.5" customHeight="1" x14ac:dyDescent="0.25"/>
    <row r="6" spans="1:14" ht="17.25" x14ac:dyDescent="0.3">
      <c r="A6" s="156" t="s">
        <v>67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4" ht="7.5" customHeight="1" x14ac:dyDescent="0.25"/>
    <row r="8" spans="1:14" s="1" customFormat="1" ht="20.25" customHeight="1" x14ac:dyDescent="0.25">
      <c r="A8" s="157" t="s">
        <v>11</v>
      </c>
      <c r="B8" s="158" t="s">
        <v>10</v>
      </c>
      <c r="C8" s="161" t="s">
        <v>21</v>
      </c>
      <c r="D8" s="158" t="s">
        <v>4</v>
      </c>
      <c r="E8" s="163" t="s">
        <v>80</v>
      </c>
      <c r="F8" s="165" t="s">
        <v>79</v>
      </c>
      <c r="G8" s="166"/>
      <c r="H8" s="166"/>
      <c r="I8" s="167"/>
      <c r="J8" s="159" t="s">
        <v>18</v>
      </c>
      <c r="K8" s="157" t="s">
        <v>9</v>
      </c>
      <c r="L8" s="157"/>
    </row>
    <row r="9" spans="1:14" s="1" customFormat="1" ht="27.75" customHeight="1" thickBot="1" x14ac:dyDescent="0.3">
      <c r="A9" s="157"/>
      <c r="B9" s="158"/>
      <c r="C9" s="162"/>
      <c r="D9" s="158"/>
      <c r="E9" s="164"/>
      <c r="F9" s="23" t="s">
        <v>73</v>
      </c>
      <c r="G9" s="23" t="s">
        <v>74</v>
      </c>
      <c r="H9" s="23" t="s">
        <v>78</v>
      </c>
      <c r="I9" s="21" t="s">
        <v>76</v>
      </c>
      <c r="J9" s="160"/>
      <c r="K9" s="19" t="s">
        <v>8</v>
      </c>
      <c r="L9" s="19" t="s">
        <v>7</v>
      </c>
      <c r="M9" s="40" t="s">
        <v>77</v>
      </c>
      <c r="N9" s="40" t="s">
        <v>84</v>
      </c>
    </row>
    <row r="10" spans="1:14" s="2" customFormat="1" ht="30" customHeight="1" thickBot="1" x14ac:dyDescent="0.3">
      <c r="A10" s="22">
        <v>1</v>
      </c>
      <c r="B10" s="6" t="s">
        <v>62</v>
      </c>
      <c r="C10" s="5">
        <v>8</v>
      </c>
      <c r="D10" s="5">
        <v>39</v>
      </c>
      <c r="E10" s="58">
        <f>D10</f>
        <v>39</v>
      </c>
      <c r="F10" s="62">
        <v>41.68</v>
      </c>
      <c r="G10" s="74">
        <f>(42.21+42.76+43.04+42.26+42.37+42.09+42.07+42.13+42.04+42.03+41.73+42.09+41.82+41.78+41.98+41.68+41.85+41.76+41.74+41.7+41.79+41.7+41.8+41.89+41.89+41.93+41.73+41.75+41.78+41.74+41.96+42.02+41.96+41.96+42.03+42.15+42.06+41.95)/38</f>
        <v>41.979473684210532</v>
      </c>
      <c r="H10" s="69">
        <v>10</v>
      </c>
      <c r="I10" s="46">
        <f>G10-F10</f>
        <v>0.29947368421053255</v>
      </c>
      <c r="J10" s="36">
        <v>1.9039351851851852E-2</v>
      </c>
      <c r="K10" s="36">
        <f>J10</f>
        <v>1.9039351851851852E-2</v>
      </c>
      <c r="L10" s="38">
        <f>K10</f>
        <v>1.9039351851851852E-2</v>
      </c>
      <c r="M10" s="44" t="s">
        <v>106</v>
      </c>
      <c r="N10" s="21"/>
    </row>
    <row r="11" spans="1:14" s="2" customFormat="1" ht="30" customHeight="1" x14ac:dyDescent="0.25">
      <c r="A11" s="22">
        <v>2</v>
      </c>
      <c r="B11" s="6" t="s">
        <v>61</v>
      </c>
      <c r="C11" s="5">
        <v>5</v>
      </c>
      <c r="D11" s="5">
        <v>80</v>
      </c>
      <c r="E11" s="58">
        <f>D11-D10</f>
        <v>41</v>
      </c>
      <c r="F11" s="70">
        <v>41.65</v>
      </c>
      <c r="G11" s="73">
        <f>(42.16+41.79+41.7+42.07+43.03+41.85+42.01+41.8+41.91+42.09+42.11+41.89+41.76+41.77+41.86+41.82+41.88+41.89+41.86+41.86+41.66+41.88+41.75+42.01+41.86+41.82+41.82+41.95+41.76+41.71+41.92+41.67+41.67+41.84+41.81+41.69+41.65+41.98+41.84+41.76)/40</f>
        <v>41.879000000000005</v>
      </c>
      <c r="H11" s="69">
        <v>7</v>
      </c>
      <c r="I11" s="57">
        <f t="shared" ref="I11:I13" si="0">G11-F11</f>
        <v>0.22900000000000631</v>
      </c>
      <c r="J11" s="36">
        <v>0.04</v>
      </c>
      <c r="K11" s="36">
        <f>J11-J10</f>
        <v>2.0960648148148148E-2</v>
      </c>
      <c r="L11" s="38">
        <f>K11</f>
        <v>2.0960648148148148E-2</v>
      </c>
      <c r="M11" s="44" t="s">
        <v>107</v>
      </c>
      <c r="N11" s="21"/>
    </row>
    <row r="12" spans="1:14" s="2" customFormat="1" ht="30" customHeight="1" thickBot="1" x14ac:dyDescent="0.3">
      <c r="A12" s="22">
        <v>3</v>
      </c>
      <c r="B12" s="6" t="s">
        <v>62</v>
      </c>
      <c r="C12" s="5">
        <v>2</v>
      </c>
      <c r="D12" s="5">
        <v>128</v>
      </c>
      <c r="E12" s="58">
        <f>D12-D11</f>
        <v>48</v>
      </c>
      <c r="F12" s="71">
        <v>41.93</v>
      </c>
      <c r="G12" s="73">
        <f>(42.38+42.39+42.66+42.61+42.34+42.48+42.18+42.36+42.15+42.24+42.28+42.08+41.97+42.1+42.02+42.04+42.19+42.09+41.97+41.93+42.1+42.39+42.15+42.28+42.17+42.2+42.19+42.55+42.13+42.15+42.28+42.06+42.16+42.25+42.2+42.1+43.94+42.16+43.1+42.37+42.36+42.02+42.08+42.17+42.2+42.24+42.1)/47</f>
        <v>42.267234042553191</v>
      </c>
      <c r="H12" s="69">
        <v>4</v>
      </c>
      <c r="I12" s="47">
        <f t="shared" si="0"/>
        <v>0.33723404255319167</v>
      </c>
      <c r="J12" s="36">
        <v>6.4120370370370369E-2</v>
      </c>
      <c r="K12" s="36">
        <f>J12-J11</f>
        <v>2.4120370370370368E-2</v>
      </c>
      <c r="L12" s="36">
        <f>K12+K10</f>
        <v>4.3159722222222224E-2</v>
      </c>
      <c r="M12" s="44" t="s">
        <v>108</v>
      </c>
      <c r="N12" s="21"/>
    </row>
    <row r="13" spans="1:14" s="2" customFormat="1" ht="30" customHeight="1" x14ac:dyDescent="0.25">
      <c r="A13" s="14" t="s">
        <v>17</v>
      </c>
      <c r="B13" s="11" t="s">
        <v>61</v>
      </c>
      <c r="C13" s="12">
        <v>8</v>
      </c>
      <c r="D13" s="12">
        <v>166</v>
      </c>
      <c r="E13" s="58">
        <f>D13-D12</f>
        <v>38</v>
      </c>
      <c r="F13" s="81">
        <v>41.38</v>
      </c>
      <c r="G13" s="82">
        <f>(42.09+41.69+41.85+41.79+41.69+41.6+41.73+43.38+42.8+41.81+41.68+42.46+41.71+41.61+42.19+41.9+41.81+41.58+41.38+41.46+41.67+41.91+42.06+41.77+41.57+41.71+41.61+41.82+41.75+41.72+41.85+43.51+41.67+41.57+41.79+41.84+42.36)/37</f>
        <v>41.90243243243242</v>
      </c>
      <c r="H13" s="69">
        <v>1</v>
      </c>
      <c r="I13" s="57">
        <f t="shared" si="0"/>
        <v>0.52243243243241722</v>
      </c>
      <c r="J13" s="72">
        <v>8.3368055555555556E-2</v>
      </c>
      <c r="K13" s="72">
        <f>J13-J12</f>
        <v>1.9247685185185187E-2</v>
      </c>
      <c r="L13" s="72">
        <f>K13+K11</f>
        <v>4.0208333333333332E-2</v>
      </c>
      <c r="M13" s="44"/>
      <c r="N13" s="21"/>
    </row>
    <row r="14" spans="1:14" s="2" customFormat="1" ht="30" customHeight="1" x14ac:dyDescent="0.25">
      <c r="A14" s="53"/>
      <c r="B14" s="54"/>
      <c r="C14" s="55"/>
      <c r="D14" s="55"/>
      <c r="E14" s="55"/>
      <c r="F14" s="83">
        <f>AVERAGE(F10,F12)</f>
        <v>41.805</v>
      </c>
      <c r="G14" s="83">
        <f>AVERAGE(G10,G12)</f>
        <v>42.123353863381865</v>
      </c>
      <c r="H14" s="83" t="s">
        <v>119</v>
      </c>
      <c r="I14" s="83">
        <f>AVERAGE(I10,I12)</f>
        <v>0.31835386338186211</v>
      </c>
      <c r="J14" s="55"/>
      <c r="K14" s="55"/>
      <c r="L14" s="55"/>
    </row>
    <row r="15" spans="1:14" ht="29.25" customHeight="1" x14ac:dyDescent="0.25">
      <c r="F15" s="83">
        <f>AVERAGE(F11,F13)</f>
        <v>41.515000000000001</v>
      </c>
      <c r="G15" s="83">
        <f>AVERAGE(G11,G13)</f>
        <v>41.890716216216212</v>
      </c>
      <c r="H15" s="83" t="s">
        <v>120</v>
      </c>
      <c r="I15" s="83">
        <f>AVERAGE(I11,I13)</f>
        <v>0.37571621621621176</v>
      </c>
      <c r="M15" s="2"/>
      <c r="N15" s="2"/>
    </row>
    <row r="16" spans="1:14" ht="30" customHeight="1" x14ac:dyDescent="0.25">
      <c r="F16" s="118">
        <f>AVERAGE(F10:F13)</f>
        <v>41.66</v>
      </c>
      <c r="G16" s="118">
        <f>AVERAGE(G10:G13)</f>
        <v>42.007035039799035</v>
      </c>
      <c r="H16" s="118"/>
      <c r="I16" s="118">
        <f>AVERAGE(I10:I13)</f>
        <v>0.34703503979903694</v>
      </c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topLeftCell="A3" zoomScale="75" zoomScaleNormal="75" workbookViewId="0">
      <selection activeCell="F14" sqref="F14:I16"/>
    </sheetView>
  </sheetViews>
  <sheetFormatPr defaultRowHeight="15" x14ac:dyDescent="0.25"/>
  <cols>
    <col min="1" max="1" width="8.7109375" customWidth="1"/>
    <col min="2" max="2" width="30.7109375" customWidth="1"/>
    <col min="3" max="3" width="9.710937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 x14ac:dyDescent="0.3">
      <c r="A4" s="155" t="s">
        <v>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5" ht="7.5" customHeight="1" x14ac:dyDescent="0.25"/>
    <row r="6" spans="1:15" ht="17.25" x14ac:dyDescent="0.3">
      <c r="A6" s="156" t="s">
        <v>105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5" ht="7.5" customHeight="1" x14ac:dyDescent="0.25"/>
    <row r="8" spans="1:15" s="1" customFormat="1" ht="20.25" customHeight="1" x14ac:dyDescent="0.25">
      <c r="A8" s="157" t="s">
        <v>11</v>
      </c>
      <c r="B8" s="158" t="s">
        <v>10</v>
      </c>
      <c r="C8" s="161" t="s">
        <v>21</v>
      </c>
      <c r="D8" s="158" t="s">
        <v>4</v>
      </c>
      <c r="E8" s="163" t="s">
        <v>80</v>
      </c>
      <c r="F8" s="165" t="s">
        <v>79</v>
      </c>
      <c r="G8" s="166"/>
      <c r="H8" s="166"/>
      <c r="I8" s="167"/>
      <c r="J8" s="159" t="s">
        <v>18</v>
      </c>
      <c r="K8" s="157" t="s">
        <v>9</v>
      </c>
      <c r="L8" s="157"/>
    </row>
    <row r="9" spans="1:15" s="1" customFormat="1" ht="27.75" customHeight="1" thickBot="1" x14ac:dyDescent="0.3">
      <c r="A9" s="157"/>
      <c r="B9" s="158"/>
      <c r="C9" s="162"/>
      <c r="D9" s="158"/>
      <c r="E9" s="164"/>
      <c r="F9" s="23" t="s">
        <v>73</v>
      </c>
      <c r="G9" s="21" t="s">
        <v>74</v>
      </c>
      <c r="H9" s="21" t="s">
        <v>78</v>
      </c>
      <c r="I9" s="21" t="s">
        <v>76</v>
      </c>
      <c r="J9" s="160"/>
      <c r="K9" s="19" t="s">
        <v>8</v>
      </c>
      <c r="L9" s="19" t="s">
        <v>7</v>
      </c>
      <c r="M9" s="40" t="s">
        <v>77</v>
      </c>
      <c r="N9" s="40" t="s">
        <v>84</v>
      </c>
    </row>
    <row r="10" spans="1:15" s="2" customFormat="1" ht="30" customHeight="1" thickBot="1" x14ac:dyDescent="0.3">
      <c r="A10" s="22">
        <v>1</v>
      </c>
      <c r="B10" s="6" t="s">
        <v>26</v>
      </c>
      <c r="C10" s="5">
        <v>5</v>
      </c>
      <c r="D10" s="5">
        <v>35</v>
      </c>
      <c r="E10" s="58">
        <f>D10</f>
        <v>35</v>
      </c>
      <c r="F10" s="43">
        <v>41.65</v>
      </c>
      <c r="G10" s="59">
        <f>(42.01+42.25+42.17+42.12+42.17+42.06+41.81+42+41.75+41.82+41.84+41.95+41.91+41.88+41.81+41.7+41.65+41.99+41.97+41.78+41.68+41.71+41.71+41.8+41.72+41.85+41.9+41.95+42.03+42.07+41.78+41.82+41.77+42.07)/34</f>
        <v>41.897058823529406</v>
      </c>
      <c r="H10" s="56">
        <v>5</v>
      </c>
      <c r="I10" s="46">
        <f>G10-F10</f>
        <v>0.24705882352940733</v>
      </c>
      <c r="J10" s="36">
        <v>1.7048611111111112E-2</v>
      </c>
      <c r="K10" s="35">
        <f>J10</f>
        <v>1.7048611111111112E-2</v>
      </c>
      <c r="L10" s="37">
        <f>K10</f>
        <v>1.7048611111111112E-2</v>
      </c>
      <c r="M10" s="44" t="s">
        <v>91</v>
      </c>
      <c r="N10" s="21">
        <v>-20</v>
      </c>
      <c r="O10" s="2" t="s">
        <v>90</v>
      </c>
    </row>
    <row r="11" spans="1:15" s="2" customFormat="1" ht="30" customHeight="1" x14ac:dyDescent="0.25">
      <c r="A11" s="22">
        <v>2</v>
      </c>
      <c r="B11" s="6" t="s">
        <v>26</v>
      </c>
      <c r="C11" s="5">
        <v>69</v>
      </c>
      <c r="D11" s="5">
        <v>97</v>
      </c>
      <c r="E11" s="58">
        <f>D11-D10</f>
        <v>62</v>
      </c>
      <c r="F11" s="70">
        <v>41.77</v>
      </c>
      <c r="G11" s="59">
        <f>(41.79+41.93+42.1+42.2+41.94+42.07+41.83+41.92+42.2+41.86+41.77+42.09+41.99+42.25+41.93+41.88+41.86+42.09+42.62+42.66+43+42.02+41.86+42.43+42.06+41.99+41.95+42.74+42.94+42.58+42.2+41.95+41.91+42.06+42.3+42.07+42.03+42.11+41.96+42.42+41.91+42.13+41.93+41.93+42.1+42.04+42.06+41.9+42.04+43.05+41.79+42.08+41.98+42.02+41.95+41.87+41.8+41.94+41.9+41.97+42.21)/61</f>
        <v>42.100983606557385</v>
      </c>
      <c r="H11" s="56">
        <v>8</v>
      </c>
      <c r="I11" s="57">
        <f t="shared" ref="I11:I13" si="0">G11-F11</f>
        <v>0.3309836065573819</v>
      </c>
      <c r="J11" s="36">
        <v>4.8113425925925928E-2</v>
      </c>
      <c r="K11" s="35">
        <f>J11-J10</f>
        <v>3.1064814814814816E-2</v>
      </c>
      <c r="L11" s="35">
        <f>K11+K10</f>
        <v>4.8113425925925928E-2</v>
      </c>
      <c r="M11" s="44" t="s">
        <v>92</v>
      </c>
      <c r="N11" s="21"/>
    </row>
    <row r="12" spans="1:15" s="2" customFormat="1" ht="30" customHeight="1" thickBot="1" x14ac:dyDescent="0.3">
      <c r="A12" s="22">
        <v>3</v>
      </c>
      <c r="B12" s="6" t="s">
        <v>27</v>
      </c>
      <c r="C12" s="5">
        <v>1</v>
      </c>
      <c r="D12" s="5">
        <v>118</v>
      </c>
      <c r="E12" s="58">
        <f>D12-D11</f>
        <v>21</v>
      </c>
      <c r="F12" s="71">
        <v>42.68</v>
      </c>
      <c r="G12" s="59">
        <f>(43.5+43.05+42.97+42.75+42.76+43.37+42.89+43.27+42.75+42.81+42.87+42.93+42.68+42.78+42.81+42.85+43+42.68+43.43+43.3)/20</f>
        <v>42.972499999999982</v>
      </c>
      <c r="H12" s="56">
        <v>4</v>
      </c>
      <c r="I12" s="47">
        <f t="shared" si="0"/>
        <v>0.29249999999998266</v>
      </c>
      <c r="J12" s="39">
        <v>5.932870370370371E-2</v>
      </c>
      <c r="K12" s="35">
        <f>J12-J11</f>
        <v>1.1215277777777782E-2</v>
      </c>
      <c r="L12" s="37">
        <f>K12</f>
        <v>1.1215277777777782E-2</v>
      </c>
      <c r="M12" s="44" t="s">
        <v>93</v>
      </c>
      <c r="N12" s="21"/>
    </row>
    <row r="13" spans="1:15" s="2" customFormat="1" ht="30" customHeight="1" x14ac:dyDescent="0.25">
      <c r="A13" s="22" t="s">
        <v>17</v>
      </c>
      <c r="B13" s="6" t="s">
        <v>27</v>
      </c>
      <c r="C13" s="5">
        <v>21</v>
      </c>
      <c r="D13" s="5">
        <v>166</v>
      </c>
      <c r="E13" s="58">
        <f>D13-D12</f>
        <v>48</v>
      </c>
      <c r="F13" s="85">
        <v>41.86</v>
      </c>
      <c r="G13" s="86">
        <f>(42.07+42.21+42.23+42.08+42.04+42.12+42.09+42.01+42.09+42.19+42.77+42.69+42.03+41.97+41.91+42.01+41.87+43.69+43.45+42.05+42.07+42.06+42.41+42.27+42.2+42.14+42.11+42.01+42.56+42.03+42.13+42.4+42.1+41.93+41.86+42.01+42.26+42.15+42.39+42.08+42.16+42.15+41.99+42.19+42.07+42.17+42.04)/47</f>
        <v>42.202340425531922</v>
      </c>
      <c r="H13" s="61">
        <v>3</v>
      </c>
      <c r="I13" s="87">
        <f t="shared" si="0"/>
        <v>0.34234042553192268</v>
      </c>
      <c r="J13" s="39">
        <v>8.3460648148148145E-2</v>
      </c>
      <c r="K13" s="35">
        <f>J13-J12</f>
        <v>2.4131944444444435E-2</v>
      </c>
      <c r="L13" s="35">
        <f>K13+K12</f>
        <v>3.5347222222222217E-2</v>
      </c>
      <c r="M13" s="44"/>
      <c r="N13" s="21"/>
    </row>
    <row r="14" spans="1:15" s="2" customFormat="1" ht="30" customHeight="1" x14ac:dyDescent="0.25">
      <c r="A14" s="53"/>
      <c r="B14" s="54"/>
      <c r="C14" s="54"/>
      <c r="D14" s="55"/>
      <c r="E14" s="55"/>
      <c r="F14" s="83">
        <f>AVERAGE(F10,F11)</f>
        <v>41.71</v>
      </c>
      <c r="G14" s="83">
        <f>AVERAGE(G10,G11)</f>
        <v>41.999021215043399</v>
      </c>
      <c r="H14" s="83" t="s">
        <v>121</v>
      </c>
      <c r="I14" s="83">
        <f>AVERAGE(I10,I11)</f>
        <v>0.28902121504339462</v>
      </c>
      <c r="J14" s="55"/>
      <c r="K14" s="55"/>
      <c r="L14" s="55"/>
    </row>
    <row r="15" spans="1:15" ht="30" customHeight="1" x14ac:dyDescent="0.25">
      <c r="A15" s="64"/>
      <c r="B15" s="64"/>
      <c r="C15" s="64"/>
      <c r="D15" s="65"/>
      <c r="E15" s="65"/>
      <c r="F15" s="83">
        <f>AVERAGE(F12,F13)</f>
        <v>42.269999999999996</v>
      </c>
      <c r="G15" s="83">
        <f>AVERAGE(G12,G13)</f>
        <v>42.587420212765949</v>
      </c>
      <c r="H15" s="83" t="s">
        <v>122</v>
      </c>
      <c r="I15" s="83">
        <f>AVERAGE(I12,I13)</f>
        <v>0.31742021276595267</v>
      </c>
      <c r="M15" s="2"/>
      <c r="N15" s="2"/>
    </row>
    <row r="16" spans="1:15" ht="31.5" customHeight="1" x14ac:dyDescent="0.25">
      <c r="F16" s="118">
        <f>AVERAGE(F10:F13)</f>
        <v>41.989999999999995</v>
      </c>
      <c r="G16" s="118">
        <f>AVERAGE(G10:G13)</f>
        <v>42.293220713904674</v>
      </c>
      <c r="H16" s="118"/>
      <c r="I16" s="118">
        <f>AVERAGE(I10:I13)</f>
        <v>0.30322071390467364</v>
      </c>
    </row>
    <row r="17" spans="1:14" ht="20.25" hidden="1" customHeight="1" x14ac:dyDescent="0.25">
      <c r="A17" s="158" t="s">
        <v>6</v>
      </c>
      <c r="B17" s="150" t="s">
        <v>5</v>
      </c>
      <c r="C17" s="22"/>
      <c r="D17" s="150" t="s">
        <v>4</v>
      </c>
      <c r="E17" s="14"/>
      <c r="F17" s="14"/>
      <c r="G17" s="14"/>
      <c r="H17" s="14"/>
      <c r="I17" s="14"/>
      <c r="J17" s="169" t="s">
        <v>3</v>
      </c>
      <c r="K17" s="168" t="s">
        <v>2</v>
      </c>
      <c r="L17" s="168" t="s">
        <v>1</v>
      </c>
    </row>
    <row r="18" spans="1:14" s="1" customFormat="1" ht="20.25" hidden="1" customHeight="1" x14ac:dyDescent="0.25">
      <c r="A18" s="158"/>
      <c r="B18" s="150"/>
      <c r="C18" s="22"/>
      <c r="D18" s="150"/>
      <c r="E18" s="13"/>
      <c r="F18" s="13"/>
      <c r="G18" s="13"/>
      <c r="H18" s="13"/>
      <c r="I18" s="13"/>
      <c r="J18" s="170"/>
      <c r="K18" s="168"/>
      <c r="L18" s="168"/>
      <c r="M18"/>
      <c r="N18"/>
    </row>
    <row r="19" spans="1:14" s="2" customFormat="1" ht="30" hidden="1" customHeight="1" x14ac:dyDescent="0.25">
      <c r="A19" s="22">
        <v>1</v>
      </c>
      <c r="B19" s="4"/>
      <c r="C19" s="4"/>
      <c r="D19" s="22"/>
      <c r="E19" s="22"/>
      <c r="F19" s="22"/>
      <c r="G19" s="22"/>
      <c r="H19" s="22"/>
      <c r="I19" s="22"/>
      <c r="J19" s="22"/>
      <c r="K19" s="22"/>
      <c r="L19" s="22"/>
      <c r="M19" s="1"/>
      <c r="N19" s="1"/>
    </row>
    <row r="20" spans="1:14" s="2" customFormat="1" ht="30" hidden="1" customHeight="1" x14ac:dyDescent="0.25">
      <c r="A20" s="22">
        <v>2</v>
      </c>
      <c r="B20" s="4"/>
      <c r="C20" s="4"/>
      <c r="D20" s="22"/>
      <c r="E20" s="22"/>
      <c r="F20" s="22"/>
      <c r="G20" s="22"/>
      <c r="H20" s="22"/>
      <c r="I20" s="22"/>
      <c r="J20" s="22"/>
      <c r="K20" s="22"/>
      <c r="L20" s="22"/>
    </row>
    <row r="21" spans="1:14" s="2" customFormat="1" ht="30" hidden="1" customHeight="1" x14ac:dyDescent="0.25">
      <c r="A21" s="22">
        <v>3</v>
      </c>
      <c r="B21" s="4"/>
      <c r="C21" s="4"/>
      <c r="D21" s="22"/>
      <c r="E21" s="22"/>
      <c r="F21" s="22"/>
      <c r="G21" s="22"/>
      <c r="H21" s="22"/>
      <c r="I21" s="22"/>
      <c r="J21" s="22"/>
      <c r="K21" s="22"/>
      <c r="L21" s="22"/>
    </row>
    <row r="22" spans="1:14" hidden="1" x14ac:dyDescent="0.25">
      <c r="A22" t="s">
        <v>0</v>
      </c>
      <c r="M22" s="2"/>
      <c r="N22" s="2"/>
    </row>
  </sheetData>
  <mergeCells count="16">
    <mergeCell ref="L17:L18"/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  <mergeCell ref="A17:A18"/>
    <mergeCell ref="B17:B18"/>
    <mergeCell ref="D17:D18"/>
    <mergeCell ref="J17:J18"/>
    <mergeCell ref="K17:K1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topLeftCell="A3" zoomScale="75" zoomScaleNormal="75" workbookViewId="0">
      <selection activeCell="H30" sqref="H30"/>
    </sheetView>
  </sheetViews>
  <sheetFormatPr defaultRowHeight="15" x14ac:dyDescent="0.25"/>
  <cols>
    <col min="1" max="1" width="8.7109375" customWidth="1"/>
    <col min="2" max="2" width="30.7109375" customWidth="1"/>
    <col min="3" max="3" width="10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 x14ac:dyDescent="0.3">
      <c r="A4" s="155" t="s">
        <v>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5" ht="7.5" customHeight="1" x14ac:dyDescent="0.25"/>
    <row r="6" spans="1:15" ht="17.25" x14ac:dyDescent="0.3">
      <c r="A6" s="121" t="s">
        <v>28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5" ht="7.5" customHeight="1" x14ac:dyDescent="0.25"/>
    <row r="8" spans="1:15" s="1" customFormat="1" ht="20.25" customHeight="1" x14ac:dyDescent="0.25">
      <c r="A8" s="157" t="s">
        <v>11</v>
      </c>
      <c r="B8" s="158" t="s">
        <v>10</v>
      </c>
      <c r="C8" s="161" t="s">
        <v>21</v>
      </c>
      <c r="D8" s="158" t="s">
        <v>4</v>
      </c>
      <c r="E8" s="163" t="s">
        <v>80</v>
      </c>
      <c r="F8" s="165" t="s">
        <v>79</v>
      </c>
      <c r="G8" s="166"/>
      <c r="H8" s="166"/>
      <c r="I8" s="167"/>
      <c r="J8" s="159" t="s">
        <v>18</v>
      </c>
      <c r="K8" s="157" t="s">
        <v>9</v>
      </c>
      <c r="L8" s="157"/>
    </row>
    <row r="9" spans="1:15" s="1" customFormat="1" ht="27.75" customHeight="1" x14ac:dyDescent="0.25">
      <c r="A9" s="157"/>
      <c r="B9" s="158"/>
      <c r="C9" s="162"/>
      <c r="D9" s="158"/>
      <c r="E9" s="164"/>
      <c r="F9" s="23" t="s">
        <v>73</v>
      </c>
      <c r="G9" s="23" t="s">
        <v>74</v>
      </c>
      <c r="H9" s="23" t="s">
        <v>78</v>
      </c>
      <c r="I9" s="23" t="s">
        <v>76</v>
      </c>
      <c r="J9" s="160"/>
      <c r="K9" s="19" t="s">
        <v>8</v>
      </c>
      <c r="L9" s="19" t="s">
        <v>7</v>
      </c>
      <c r="M9" s="40" t="s">
        <v>77</v>
      </c>
      <c r="N9" s="40" t="s">
        <v>84</v>
      </c>
    </row>
    <row r="10" spans="1:15" s="2" customFormat="1" ht="30" customHeight="1" thickBot="1" x14ac:dyDescent="0.3">
      <c r="A10" s="22">
        <v>1</v>
      </c>
      <c r="B10" s="6" t="s">
        <v>30</v>
      </c>
      <c r="C10" s="5">
        <v>69</v>
      </c>
      <c r="D10" s="5">
        <v>22</v>
      </c>
      <c r="E10" s="58">
        <f>D10</f>
        <v>22</v>
      </c>
      <c r="F10" s="71">
        <v>42.13</v>
      </c>
      <c r="G10" s="73">
        <f>(42.83+42.66+42.66+44.83+43.14+42.66+42.57+44.06+42.52+42.47+42.55+42.13+42.36+42.37+42.15+42.3+42.14+44.3+43.12+42.45+42.62)/21</f>
        <v>42.804285714285712</v>
      </c>
      <c r="H10" s="69">
        <v>2</v>
      </c>
      <c r="I10" s="73">
        <f>G10-F10</f>
        <v>0.67428571428570905</v>
      </c>
      <c r="J10" s="79">
        <v>1.105324074074074E-2</v>
      </c>
      <c r="K10" s="36">
        <f>J10</f>
        <v>1.105324074074074E-2</v>
      </c>
      <c r="L10" s="38">
        <f>K10</f>
        <v>1.105324074074074E-2</v>
      </c>
      <c r="M10" s="44" t="s">
        <v>125</v>
      </c>
      <c r="N10" s="21">
        <v>-8</v>
      </c>
      <c r="O10" s="2" t="s">
        <v>90</v>
      </c>
    </row>
    <row r="11" spans="1:15" s="2" customFormat="1" ht="30" customHeight="1" thickBot="1" x14ac:dyDescent="0.3">
      <c r="A11" s="22">
        <v>2</v>
      </c>
      <c r="B11" s="6" t="s">
        <v>30</v>
      </c>
      <c r="C11" s="5">
        <v>3</v>
      </c>
      <c r="D11" s="5">
        <v>69</v>
      </c>
      <c r="E11" s="58">
        <f>D11-D10</f>
        <v>47</v>
      </c>
      <c r="F11" s="78">
        <v>41.73</v>
      </c>
      <c r="G11" s="74">
        <f>(42.34+42.2+42.32+41.96+41.92+42.23+42.14+42.74+41.81+41.83+42.21+42.03+41.98+42.03+41.84+42.03+41.81+41.94+41.92+41.73+42.04+42+41.76+41.11+42.35+42.04+42+42.14+42.07+42.14+43.28+42.59+42.34+42+41.79+42.32+42.11+41.92+42.2+42.91+43.22+42.89+42.19+42.46+42.17+42.19)/46</f>
        <v>42.157391304347833</v>
      </c>
      <c r="H11" s="69">
        <v>5</v>
      </c>
      <c r="I11" s="73">
        <f t="shared" ref="I11:I13" si="0">G11-F11</f>
        <v>0.4273913043478359</v>
      </c>
      <c r="J11" s="79">
        <v>3.498842592592593E-2</v>
      </c>
      <c r="K11" s="36">
        <f>J11-J10</f>
        <v>2.3935185185185191E-2</v>
      </c>
      <c r="L11" s="36">
        <f>K11+K10</f>
        <v>3.498842592592593E-2</v>
      </c>
      <c r="M11" s="44" t="s">
        <v>126</v>
      </c>
      <c r="N11" s="21"/>
    </row>
    <row r="12" spans="1:15" s="2" customFormat="1" ht="30" customHeight="1" thickBot="1" x14ac:dyDescent="0.3">
      <c r="A12" s="22">
        <v>3</v>
      </c>
      <c r="B12" s="6" t="s">
        <v>29</v>
      </c>
      <c r="C12" s="5">
        <v>7</v>
      </c>
      <c r="D12" s="5">
        <v>128</v>
      </c>
      <c r="E12" s="58">
        <f>D12-D11</f>
        <v>59</v>
      </c>
      <c r="F12" s="88">
        <v>41.68</v>
      </c>
      <c r="G12" s="73">
        <f>(42.27+42.2+42.08+41.99+42.1+42.03+41.97+42.51+42.22+41.98+42.01+42.22+42.16+41.97+42.12+42.13+42.09+41.89+42.22+42+41.89+41.68+41.79+41.91+41.84+41.87+42.63+41.92+42.01+41.85+42+41.96+42.08+41.84+41.85+41.89+41.88+42+41.88+42.1+41.9+41.87+42+41.93+41.85+41.8+41.76+41.9+41.9+41.84+41.92+41.92+41.87+41.76+41.78+41.92+42.11+42.06)/58</f>
        <v>41.984827586206912</v>
      </c>
      <c r="H12" s="69">
        <v>3</v>
      </c>
      <c r="I12" s="73">
        <f t="shared" si="0"/>
        <v>0.30482758620691186</v>
      </c>
      <c r="J12" s="79">
        <v>6.4444444444444443E-2</v>
      </c>
      <c r="K12" s="36">
        <f>J12-J11</f>
        <v>2.9456018518518513E-2</v>
      </c>
      <c r="L12" s="38">
        <f>K12</f>
        <v>2.9456018518518513E-2</v>
      </c>
      <c r="M12" s="44" t="s">
        <v>126</v>
      </c>
      <c r="N12" s="21"/>
    </row>
    <row r="13" spans="1:15" s="2" customFormat="1" ht="30" customHeight="1" thickBot="1" x14ac:dyDescent="0.3">
      <c r="A13" s="14" t="s">
        <v>17</v>
      </c>
      <c r="B13" s="11" t="s">
        <v>29</v>
      </c>
      <c r="C13" s="12">
        <v>3</v>
      </c>
      <c r="D13" s="12">
        <v>166</v>
      </c>
      <c r="E13" s="58">
        <f>D13-D12</f>
        <v>38</v>
      </c>
      <c r="F13" s="43">
        <v>41.56</v>
      </c>
      <c r="G13" s="74">
        <f>(41.98+42.17+41.97+41.93+41.84+41.86+41.94+41.97+42.08+41.88+41.84+41.87+41.97+41.71+41.66+41.56+44.12+41.79+41.74+41.86+41.83+41.65+41.93+41.84+41.71+41.81+41.82+41.76+42.26+41.91+41.87+42.89+41.79+41.93+41.99+41.86+41.85)/37</f>
        <v>41.957837837837836</v>
      </c>
      <c r="H13" s="69">
        <v>1</v>
      </c>
      <c r="I13" s="73">
        <f t="shared" si="0"/>
        <v>0.39783783783783377</v>
      </c>
      <c r="J13" s="80">
        <v>8.3564814814814814E-2</v>
      </c>
      <c r="K13" s="72">
        <f>J13-J12</f>
        <v>1.9120370370370371E-2</v>
      </c>
      <c r="L13" s="72">
        <f>K13+K12</f>
        <v>4.8576388888888884E-2</v>
      </c>
      <c r="M13" s="44"/>
      <c r="N13" s="21"/>
    </row>
    <row r="14" spans="1:15" s="2" customFormat="1" ht="30" customHeight="1" x14ac:dyDescent="0.25">
      <c r="A14" s="53"/>
      <c r="B14" s="54"/>
      <c r="C14" s="55"/>
      <c r="D14" s="55"/>
      <c r="E14" s="55"/>
      <c r="F14" s="83">
        <f>AVERAGE(F10,F11)</f>
        <v>41.93</v>
      </c>
      <c r="G14" s="83">
        <f>AVERAGE(G10,G11)</f>
        <v>42.480838509316769</v>
      </c>
      <c r="H14" s="83" t="s">
        <v>131</v>
      </c>
      <c r="I14" s="83">
        <f>AVERAGE(I10,I11)</f>
        <v>0.55083850931677247</v>
      </c>
      <c r="J14" s="55"/>
      <c r="K14" s="55"/>
      <c r="L14" s="55"/>
    </row>
    <row r="15" spans="1:15" ht="23.25" customHeight="1" x14ac:dyDescent="0.25">
      <c r="F15" s="83">
        <f>AVERAGE(F12,F13)</f>
        <v>41.620000000000005</v>
      </c>
      <c r="G15" s="83">
        <f>AVERAGE(G12,G13)</f>
        <v>41.971332712022374</v>
      </c>
      <c r="H15" s="83" t="s">
        <v>132</v>
      </c>
      <c r="I15" s="83">
        <f>AVERAGE(I12,I13)</f>
        <v>0.35133271202237282</v>
      </c>
      <c r="M15" s="2"/>
      <c r="N15" s="2"/>
    </row>
    <row r="16" spans="1:15" ht="24.75" customHeight="1" x14ac:dyDescent="0.25">
      <c r="F16" s="118">
        <f>AVERAGE(F10:F13)</f>
        <v>41.774999999999999</v>
      </c>
      <c r="G16" s="118">
        <f>AVERAGE(G10:G13)</f>
        <v>42.226085610669571</v>
      </c>
      <c r="H16" s="118"/>
      <c r="I16" s="118">
        <f>AVERAGE(I10:I13)</f>
        <v>0.45108561066957265</v>
      </c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16"/>
  <sheetViews>
    <sheetView zoomScale="75" zoomScaleNormal="75" workbookViewId="0">
      <selection activeCell="J26" sqref="J26"/>
    </sheetView>
  </sheetViews>
  <sheetFormatPr defaultRowHeight="15" x14ac:dyDescent="0.25"/>
  <cols>
    <col min="1" max="1" width="8.7109375" customWidth="1"/>
    <col min="2" max="2" width="30.7109375" customWidth="1"/>
    <col min="3" max="3" width="10.5703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5.85546875" customWidth="1"/>
    <col min="14" max="14" width="12.42578125" customWidth="1"/>
  </cols>
  <sheetData>
    <row r="4" spans="1:15" ht="18.75" x14ac:dyDescent="0.3">
      <c r="A4" s="155" t="s">
        <v>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5" ht="7.5" customHeight="1" x14ac:dyDescent="0.25"/>
    <row r="6" spans="1:15" ht="17.25" x14ac:dyDescent="0.3">
      <c r="A6" s="121" t="s">
        <v>22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5" ht="7.5" customHeight="1" x14ac:dyDescent="0.25"/>
    <row r="8" spans="1:15" s="1" customFormat="1" ht="20.25" customHeight="1" x14ac:dyDescent="0.25">
      <c r="A8" s="157" t="s">
        <v>11</v>
      </c>
      <c r="B8" s="158" t="s">
        <v>10</v>
      </c>
      <c r="C8" s="161" t="s">
        <v>21</v>
      </c>
      <c r="D8" s="158" t="s">
        <v>4</v>
      </c>
      <c r="E8" s="163" t="s">
        <v>80</v>
      </c>
      <c r="F8" s="165" t="s">
        <v>79</v>
      </c>
      <c r="G8" s="166"/>
      <c r="H8" s="166"/>
      <c r="I8" s="167"/>
      <c r="J8" s="159" t="s">
        <v>18</v>
      </c>
      <c r="K8" s="157" t="s">
        <v>9</v>
      </c>
      <c r="L8" s="157"/>
    </row>
    <row r="9" spans="1:15" s="1" customFormat="1" ht="27.75" customHeight="1" thickBot="1" x14ac:dyDescent="0.3">
      <c r="A9" s="157"/>
      <c r="B9" s="158"/>
      <c r="C9" s="162"/>
      <c r="D9" s="158"/>
      <c r="E9" s="164"/>
      <c r="F9" s="23" t="s">
        <v>73</v>
      </c>
      <c r="G9" s="23" t="s">
        <v>74</v>
      </c>
      <c r="H9" s="23" t="s">
        <v>78</v>
      </c>
      <c r="I9" s="21" t="s">
        <v>76</v>
      </c>
      <c r="J9" s="160"/>
      <c r="K9" s="19" t="s">
        <v>8</v>
      </c>
      <c r="L9" s="19" t="s">
        <v>7</v>
      </c>
      <c r="M9" s="40" t="s">
        <v>77</v>
      </c>
      <c r="N9" s="40" t="s">
        <v>84</v>
      </c>
    </row>
    <row r="10" spans="1:15" s="2" customFormat="1" ht="30" customHeight="1" thickBot="1" x14ac:dyDescent="0.3">
      <c r="A10" s="22">
        <v>1</v>
      </c>
      <c r="B10" s="6" t="s">
        <v>24</v>
      </c>
      <c r="C10" s="5">
        <v>7</v>
      </c>
      <c r="D10" s="5">
        <v>41</v>
      </c>
      <c r="E10" s="58">
        <f>D10</f>
        <v>41</v>
      </c>
      <c r="F10" s="62">
        <v>41.84</v>
      </c>
      <c r="G10" s="74">
        <f>(42.25+42.7+43.65+42.26+42.49+42.09+42.25+41.98+42.1+42.16+42.08+42.13+42.03+42.06+42.07+42.01+41.94+41.84+41.88+41.89+42.3+41.88+42.02+41.9+42.05+41.97+42.2+42.75+41.88+41.89+41.96+41.9+41.86+41.85+42.16+42.98+42.39+42.11+41.96+42.34)/40</f>
        <v>42.155250000000009</v>
      </c>
      <c r="H10" s="69">
        <v>8</v>
      </c>
      <c r="I10" s="46">
        <f>G10-F10</f>
        <v>0.31525000000000603</v>
      </c>
      <c r="J10" s="36">
        <v>2.0081018518518519E-2</v>
      </c>
      <c r="K10" s="36">
        <f>J10</f>
        <v>2.0081018518518519E-2</v>
      </c>
      <c r="L10" s="38">
        <f>K10</f>
        <v>2.0081018518518519E-2</v>
      </c>
      <c r="M10" s="44" t="s">
        <v>109</v>
      </c>
      <c r="N10" s="21">
        <v>-8</v>
      </c>
      <c r="O10" s="2" t="s">
        <v>90</v>
      </c>
    </row>
    <row r="11" spans="1:15" s="2" customFormat="1" ht="30" customHeight="1" x14ac:dyDescent="0.25">
      <c r="A11" s="22">
        <v>2</v>
      </c>
      <c r="B11" s="6" t="s">
        <v>24</v>
      </c>
      <c r="C11" s="5">
        <v>33</v>
      </c>
      <c r="D11" s="5">
        <v>72</v>
      </c>
      <c r="E11" s="58">
        <f>D11-D10</f>
        <v>31</v>
      </c>
      <c r="F11" s="70">
        <v>42.04</v>
      </c>
      <c r="G11" s="73">
        <f>(42.1+42.4+43.61+42.1+42.17+42.08+42.19+42.27+42.26+42.53+43.91+42.25+42.23+42.38+42.35+42.14+42.38+42.31+42.33+42.2+42.19+42.04+42.37+42.11+42.21+42.17+42.43+42.2+42.21+42.68)/30</f>
        <v>42.360000000000007</v>
      </c>
      <c r="H11" s="69">
        <v>5</v>
      </c>
      <c r="I11" s="57">
        <f t="shared" ref="I11:I13" si="0">G11-F11</f>
        <v>0.32000000000000739</v>
      </c>
      <c r="J11" s="36">
        <v>3.6284722222222225E-2</v>
      </c>
      <c r="K11" s="36">
        <f>J11-J10</f>
        <v>1.6203703703703706E-2</v>
      </c>
      <c r="L11" s="36">
        <f>K11+K10</f>
        <v>3.6284722222222225E-2</v>
      </c>
      <c r="M11" s="44" t="s">
        <v>110</v>
      </c>
      <c r="N11" s="21">
        <v>35</v>
      </c>
      <c r="O11" s="2" t="s">
        <v>111</v>
      </c>
    </row>
    <row r="12" spans="1:15" s="2" customFormat="1" ht="30" customHeight="1" thickBot="1" x14ac:dyDescent="0.3">
      <c r="A12" s="22">
        <v>3</v>
      </c>
      <c r="B12" s="6" t="s">
        <v>23</v>
      </c>
      <c r="C12" s="5">
        <v>13</v>
      </c>
      <c r="D12" s="5">
        <v>100</v>
      </c>
      <c r="E12" s="58">
        <f>D12-D11</f>
        <v>28</v>
      </c>
      <c r="F12" s="71">
        <v>41.67</v>
      </c>
      <c r="G12" s="73">
        <f>(42.17+42.16+42.02+42.08+41.98+41.67+42.09+41.9+42.07+42.06+41.93+41.84+41.94+42.2+41.96+42.05+42.04+41.93+41.99+42.07+41.93+41.86+41.83+41.86+41.95+41.86+41.96)/27</f>
        <v>41.977777777777774</v>
      </c>
      <c r="H12" s="69">
        <v>0</v>
      </c>
      <c r="I12" s="48">
        <f t="shared" si="0"/>
        <v>0.3077777777777726</v>
      </c>
      <c r="J12" s="36">
        <v>5.0625000000000003E-2</v>
      </c>
      <c r="K12" s="36">
        <f>J12-J11</f>
        <v>1.4340277777777778E-2</v>
      </c>
      <c r="L12" s="38">
        <f>K12</f>
        <v>1.4340277777777778E-2</v>
      </c>
      <c r="M12" s="44" t="s">
        <v>107</v>
      </c>
      <c r="N12" s="21"/>
    </row>
    <row r="13" spans="1:15" s="2" customFormat="1" ht="30" customHeight="1" thickBot="1" x14ac:dyDescent="0.3">
      <c r="A13" s="14" t="s">
        <v>17</v>
      </c>
      <c r="B13" s="11" t="s">
        <v>23</v>
      </c>
      <c r="C13" s="12">
        <v>5</v>
      </c>
      <c r="D13" s="12">
        <v>166</v>
      </c>
      <c r="E13" s="58">
        <f>D13-D12</f>
        <v>66</v>
      </c>
      <c r="F13" s="43">
        <v>41.51</v>
      </c>
      <c r="G13" s="82">
        <f>(42.02+41.9+41.79+42.01+41.84+42.09+41.85+41.73+41.82+41.72+41.94+41.81+42.16+41.8+41.84+41.74+41.67+41.89+41.72+41.73+41.82+41.97+41.51+42+41.84+41.85+41.73+41.89+42.7+41.18+41.86+41.77+41.75+41.86+41.95+42+41.96+41.86+42.25+41.92+42.08+42+41.81+41.87+41.76+41.89+41.92+41.65+42.34+41.83+41.78+41.79+41.52+41.81+41.82+41.98+41.9+41.96+41.89+42.56+41.91+42.36+42.1+42.06+43.29)/65</f>
        <v>41.91723076923077</v>
      </c>
      <c r="H13" s="71">
        <v>1</v>
      </c>
      <c r="I13" s="87">
        <f t="shared" si="0"/>
        <v>0.40723076923077173</v>
      </c>
      <c r="J13" s="72">
        <v>8.3368055555555556E-2</v>
      </c>
      <c r="K13" s="72">
        <f>J13-J12</f>
        <v>3.2743055555555553E-2</v>
      </c>
      <c r="L13" s="72">
        <f>K13+K12</f>
        <v>4.7083333333333331E-2</v>
      </c>
      <c r="M13" s="44"/>
      <c r="N13" s="21"/>
    </row>
    <row r="14" spans="1:15" s="2" customFormat="1" ht="30" customHeight="1" x14ac:dyDescent="0.25">
      <c r="A14" s="53"/>
      <c r="B14" s="54"/>
      <c r="C14" s="55"/>
      <c r="D14" s="55"/>
      <c r="E14" s="55"/>
      <c r="F14" s="83">
        <f>AVERAGE(F10,F11)</f>
        <v>41.94</v>
      </c>
      <c r="G14" s="83">
        <f>AVERAGE(G10,G11)</f>
        <v>42.257625000000004</v>
      </c>
      <c r="H14" s="83" t="s">
        <v>123</v>
      </c>
      <c r="I14" s="83">
        <f>AVERAGE(I10,I11)</f>
        <v>0.31762500000000671</v>
      </c>
      <c r="J14" s="55"/>
      <c r="K14" s="55"/>
      <c r="L14" s="55"/>
    </row>
    <row r="15" spans="1:15" ht="26.25" customHeight="1" x14ac:dyDescent="0.25">
      <c r="F15" s="83">
        <f>AVERAGE(F12,F13)</f>
        <v>41.59</v>
      </c>
      <c r="G15" s="83">
        <f>AVERAGE(G12,G13)</f>
        <v>41.947504273504272</v>
      </c>
      <c r="H15" s="83" t="s">
        <v>124</v>
      </c>
      <c r="I15" s="83">
        <f>AVERAGE(I12,I13)</f>
        <v>0.35750427350427216</v>
      </c>
    </row>
    <row r="16" spans="1:15" ht="27.75" customHeight="1" x14ac:dyDescent="0.25">
      <c r="F16" s="118">
        <f>AVERAGE(F10:F13)</f>
        <v>41.765000000000001</v>
      </c>
      <c r="G16" s="118">
        <f>AVERAGE(G10:G13)</f>
        <v>42.102564636752135</v>
      </c>
      <c r="H16" s="118"/>
      <c r="I16" s="118">
        <f>AVERAGE(I10:I13)</f>
        <v>0.33756463675213944</v>
      </c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zoomScale="75" zoomScaleNormal="75" workbookViewId="0">
      <selection activeCell="I26" sqref="I26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6.7109375" customWidth="1"/>
    <col min="14" max="14" width="12.42578125" customWidth="1"/>
  </cols>
  <sheetData>
    <row r="4" spans="1:15" ht="18.75" x14ac:dyDescent="0.3">
      <c r="A4" s="155" t="s">
        <v>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5" ht="7.5" customHeight="1" x14ac:dyDescent="0.25"/>
    <row r="6" spans="1:15" ht="17.25" x14ac:dyDescent="0.3">
      <c r="A6" s="121">
        <v>46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5" ht="7.5" customHeight="1" x14ac:dyDescent="0.25"/>
    <row r="8" spans="1:15" s="1" customFormat="1" ht="20.25" customHeight="1" x14ac:dyDescent="0.25">
      <c r="A8" s="157" t="s">
        <v>11</v>
      </c>
      <c r="B8" s="158" t="s">
        <v>10</v>
      </c>
      <c r="C8" s="161" t="s">
        <v>21</v>
      </c>
      <c r="D8" s="158" t="s">
        <v>4</v>
      </c>
      <c r="E8" s="163" t="s">
        <v>80</v>
      </c>
      <c r="F8" s="165" t="s">
        <v>100</v>
      </c>
      <c r="G8" s="166"/>
      <c r="H8" s="166"/>
      <c r="I8" s="167"/>
      <c r="J8" s="159" t="s">
        <v>18</v>
      </c>
      <c r="K8" s="157" t="s">
        <v>9</v>
      </c>
      <c r="L8" s="157"/>
    </row>
    <row r="9" spans="1:15" s="1" customFormat="1" ht="27.75" customHeight="1" x14ac:dyDescent="0.25">
      <c r="A9" s="157"/>
      <c r="B9" s="158"/>
      <c r="C9" s="162"/>
      <c r="D9" s="158"/>
      <c r="E9" s="164"/>
      <c r="F9" s="23" t="s">
        <v>73</v>
      </c>
      <c r="G9" s="23" t="s">
        <v>74</v>
      </c>
      <c r="H9" s="23" t="s">
        <v>78</v>
      </c>
      <c r="I9" s="21" t="s">
        <v>76</v>
      </c>
      <c r="J9" s="160"/>
      <c r="K9" s="19" t="s">
        <v>8</v>
      </c>
      <c r="L9" s="19" t="s">
        <v>7</v>
      </c>
      <c r="M9" s="40" t="s">
        <v>77</v>
      </c>
      <c r="N9" s="40" t="s">
        <v>84</v>
      </c>
    </row>
    <row r="10" spans="1:15" s="2" customFormat="1" ht="30" customHeight="1" x14ac:dyDescent="0.25">
      <c r="A10" s="22">
        <v>1</v>
      </c>
      <c r="B10" s="6" t="s">
        <v>64</v>
      </c>
      <c r="C10" s="5">
        <v>7</v>
      </c>
      <c r="D10" s="5">
        <v>39</v>
      </c>
      <c r="E10" s="58">
        <f>D10</f>
        <v>39</v>
      </c>
      <c r="F10" s="69">
        <v>41.66</v>
      </c>
      <c r="G10" s="73">
        <f>(42.46+42.86+44.31+43.27+42.2+42.17+42.14+42.05+41.98+41.88+41.86+42.08+41.93+41.9+41.81+41.82+41.7+41.77+41.72+41.66+41.87+41.82+41.91+41.86+41.89+41.79+41.97+42.22+41.86+41.79+41.82+41.76+41.9+41.97+42.2+42.42+41.95+42.38)/38</f>
        <v>42.077631578947383</v>
      </c>
      <c r="H10" s="69">
        <v>3</v>
      </c>
      <c r="I10" s="41">
        <f>G10-F10</f>
        <v>0.41763157894738612</v>
      </c>
      <c r="J10" s="36">
        <v>1.909722222222222E-2</v>
      </c>
      <c r="K10" s="36">
        <f>J10</f>
        <v>1.909722222222222E-2</v>
      </c>
      <c r="L10" s="38">
        <f>K10</f>
        <v>1.909722222222222E-2</v>
      </c>
      <c r="M10" s="44" t="s">
        <v>101</v>
      </c>
      <c r="N10" s="21"/>
    </row>
    <row r="11" spans="1:15" s="2" customFormat="1" ht="30" customHeight="1" thickBot="1" x14ac:dyDescent="0.3">
      <c r="A11" s="22">
        <v>2</v>
      </c>
      <c r="B11" s="6" t="s">
        <v>63</v>
      </c>
      <c r="C11" s="5">
        <v>6</v>
      </c>
      <c r="D11" s="5">
        <v>72</v>
      </c>
      <c r="E11" s="58">
        <f>D11-D10</f>
        <v>33</v>
      </c>
      <c r="F11" s="14">
        <v>42.45</v>
      </c>
      <c r="G11" s="76">
        <f>(42.99+43.3+43.02+42.96+42.48+42.7+42.99+42.79+42.89+42.63+42.57+42.45+42.88+42.94+43.72+43.42+42.79+42.82+42.94+42.97+42.56+42.91+44.31+42.94+42.68+43.11+42.84+42.84+42.84+42.82+42.96+43.22)/32</f>
        <v>42.946249999999992</v>
      </c>
      <c r="H11" s="69">
        <v>1</v>
      </c>
      <c r="I11" s="46">
        <f t="shared" ref="I11:I12" si="0">G11-F11</f>
        <v>0.4962499999999892</v>
      </c>
      <c r="J11" s="36">
        <v>3.6608796296296299E-2</v>
      </c>
      <c r="K11" s="36">
        <f>J11-J10</f>
        <v>1.7511574074074079E-2</v>
      </c>
      <c r="L11" s="38">
        <f>K11</f>
        <v>1.7511574074074079E-2</v>
      </c>
      <c r="M11" s="44" t="s">
        <v>102</v>
      </c>
      <c r="N11" s="21"/>
    </row>
    <row r="12" spans="1:15" s="2" customFormat="1" ht="30" customHeight="1" thickBot="1" x14ac:dyDescent="0.3">
      <c r="A12" s="22">
        <v>3</v>
      </c>
      <c r="B12" s="6" t="s">
        <v>64</v>
      </c>
      <c r="C12" s="5">
        <v>4</v>
      </c>
      <c r="D12" s="5">
        <v>127</v>
      </c>
      <c r="E12" s="58">
        <f>D12-D11</f>
        <v>55</v>
      </c>
      <c r="F12" s="43">
        <v>41.65</v>
      </c>
      <c r="G12" s="74">
        <f>(42.01+42.09+42.07+41.96+41.83+41.98+41.85+41.66+41.98+41.97+42.06+41.97+42.01+41.84+41.95+41.65+41.79+41.97+41.9+41.93+42.48+42.07+42.19+41.98+41.94+41.75+42.01+42.06+41.8+42.02+41.89+41.96+42.07+41.96+42+42.06+42.16+41.98+41.94+42.08+42.03+42.18+41.95+42.14+42.28+42.2+42.18+42+42.14+42.17+42.12+42.35+41.96+42.44)/54</f>
        <v>42.018703703703707</v>
      </c>
      <c r="H12" s="69">
        <v>1</v>
      </c>
      <c r="I12" s="48">
        <f t="shared" si="0"/>
        <v>0.36870370370370864</v>
      </c>
      <c r="J12" s="36">
        <v>6.4108796296296303E-2</v>
      </c>
      <c r="K12" s="36">
        <f>J12-J11</f>
        <v>2.7500000000000004E-2</v>
      </c>
      <c r="L12" s="36">
        <f>K12+K10</f>
        <v>4.659722222222222E-2</v>
      </c>
      <c r="M12" s="44" t="s">
        <v>103</v>
      </c>
      <c r="N12" s="21">
        <v>3</v>
      </c>
      <c r="O12" s="2" t="s">
        <v>104</v>
      </c>
    </row>
    <row r="13" spans="1:15" s="2" customFormat="1" ht="30" customHeight="1" x14ac:dyDescent="0.25">
      <c r="A13" s="14" t="s">
        <v>17</v>
      </c>
      <c r="B13" s="11" t="s">
        <v>63</v>
      </c>
      <c r="C13" s="12">
        <v>6</v>
      </c>
      <c r="D13" s="12">
        <v>165</v>
      </c>
      <c r="E13" s="58">
        <f>D13-D12</f>
        <v>38</v>
      </c>
      <c r="F13" s="85">
        <v>42.27</v>
      </c>
      <c r="G13" s="82">
        <f>(43.05+43.1+42.95+42.75+42.93+42.59+42.6+42.89+42.77+42.44+42.45+44.09+42.81+42.27+42.64+42.7+42.45+42.52+42.95+42.46+42.73+42.96+42.74+42.75+42.76+42.71+42.57+42.55+43.88+42.88+42.78+43.13+43.3+43.47+42.97+42.98+43.02)/37</f>
        <v>42.853783783783797</v>
      </c>
      <c r="H13" s="71">
        <v>0</v>
      </c>
      <c r="I13" s="84">
        <f t="shared" ref="I13" si="1">G13-F13</f>
        <v>0.58378378378379381</v>
      </c>
      <c r="J13" s="72">
        <v>8.3657407407407403E-2</v>
      </c>
      <c r="K13" s="72">
        <f>J13-J12</f>
        <v>1.95486111111111E-2</v>
      </c>
      <c r="L13" s="72">
        <f>K13+K11</f>
        <v>3.7060185185185182E-2</v>
      </c>
      <c r="M13" s="44"/>
      <c r="N13" s="21"/>
    </row>
    <row r="14" spans="1:15" s="2" customFormat="1" ht="30" customHeight="1" x14ac:dyDescent="0.25">
      <c r="A14" s="53"/>
      <c r="B14" s="54"/>
      <c r="C14" s="55"/>
      <c r="D14" s="55"/>
      <c r="E14" s="55"/>
      <c r="F14" s="83">
        <f>AVERAGE(F10,F12)</f>
        <v>41.655000000000001</v>
      </c>
      <c r="G14" s="83">
        <f>AVERAGE(G10,G12)</f>
        <v>42.048167641325549</v>
      </c>
      <c r="H14" s="83" t="s">
        <v>127</v>
      </c>
      <c r="I14" s="83">
        <f>AVERAGE(I10,I12)</f>
        <v>0.39316764132554738</v>
      </c>
      <c r="J14" s="55"/>
      <c r="K14" s="55"/>
      <c r="L14" s="55"/>
    </row>
    <row r="15" spans="1:15" ht="27.75" customHeight="1" x14ac:dyDescent="0.25">
      <c r="A15" s="64"/>
      <c r="B15" s="64"/>
      <c r="C15" s="64"/>
      <c r="D15" s="65"/>
      <c r="F15" s="83">
        <f>AVERAGE(F11,F13)</f>
        <v>42.36</v>
      </c>
      <c r="G15" s="83">
        <f>AVERAGE(G11,G13)</f>
        <v>42.900016891891894</v>
      </c>
      <c r="H15" s="83" t="s">
        <v>128</v>
      </c>
      <c r="I15" s="83">
        <f>AVERAGE(I11,I13)</f>
        <v>0.5400168918918915</v>
      </c>
      <c r="M15" s="2"/>
      <c r="N15" s="2"/>
    </row>
    <row r="16" spans="1:15" ht="30" customHeight="1" x14ac:dyDescent="0.25">
      <c r="F16" s="118">
        <f>AVERAGE(F10:F13)</f>
        <v>42.0075</v>
      </c>
      <c r="G16" s="118">
        <f>AVERAGE(G10:G13)</f>
        <v>42.474092266608722</v>
      </c>
      <c r="H16" s="118"/>
      <c r="I16" s="118">
        <f>AVERAGE(I10:I13)</f>
        <v>0.46659226660871944</v>
      </c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23"/>
  <sheetViews>
    <sheetView zoomScale="75" zoomScaleNormal="75" workbookViewId="0">
      <selection activeCell="J28" sqref="J28"/>
    </sheetView>
  </sheetViews>
  <sheetFormatPr defaultRowHeight="15" x14ac:dyDescent="0.25"/>
  <cols>
    <col min="1" max="2" width="8.7109375" customWidth="1"/>
    <col min="3" max="3" width="30.7109375" customWidth="1"/>
    <col min="4" max="4" width="9.42578125" customWidth="1"/>
    <col min="5" max="7" width="9.42578125" style="1" customWidth="1"/>
    <col min="8" max="8" width="11.28515625" style="1" customWidth="1"/>
    <col min="9" max="9" width="12.85546875" style="1" customWidth="1"/>
    <col min="10" max="10" width="13.5703125" style="1" customWidth="1"/>
    <col min="11" max="11" width="13" style="1" customWidth="1"/>
    <col min="12" max="12" width="12" style="1" customWidth="1"/>
    <col min="13" max="13" width="15.85546875" style="1" customWidth="1"/>
    <col min="14" max="14" width="14.85546875" hidden="1" customWidth="1"/>
    <col min="15" max="15" width="16.85546875" hidden="1" customWidth="1"/>
    <col min="16" max="16" width="14.85546875" hidden="1" customWidth="1"/>
    <col min="17" max="17" width="0" hidden="1" customWidth="1"/>
    <col min="19" max="19" width="12.42578125" customWidth="1"/>
  </cols>
  <sheetData>
    <row r="4" spans="1:20" ht="18.75" x14ac:dyDescent="0.3">
      <c r="A4" s="155" t="s">
        <v>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20" ht="7.5" customHeight="1" x14ac:dyDescent="0.25"/>
    <row r="6" spans="1:20" ht="17.25" x14ac:dyDescent="0.3">
      <c r="A6" s="156" t="s">
        <v>41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20" ht="7.5" customHeight="1" x14ac:dyDescent="0.25"/>
    <row r="8" spans="1:20" s="1" customFormat="1" ht="20.25" customHeight="1" x14ac:dyDescent="0.25">
      <c r="A8" s="157" t="s">
        <v>11</v>
      </c>
      <c r="B8" s="171" t="s">
        <v>10</v>
      </c>
      <c r="C8" s="172"/>
      <c r="D8" s="161" t="s">
        <v>21</v>
      </c>
      <c r="E8" s="158" t="s">
        <v>4</v>
      </c>
      <c r="F8" s="163" t="s">
        <v>80</v>
      </c>
      <c r="G8" s="165" t="s">
        <v>79</v>
      </c>
      <c r="H8" s="166"/>
      <c r="I8" s="166"/>
      <c r="J8" s="167"/>
      <c r="K8" s="159" t="s">
        <v>18</v>
      </c>
      <c r="L8" s="157" t="s">
        <v>9</v>
      </c>
      <c r="M8" s="157"/>
    </row>
    <row r="9" spans="1:20" s="1" customFormat="1" ht="27.75" customHeight="1" x14ac:dyDescent="0.25">
      <c r="A9" s="157"/>
      <c r="B9" s="173"/>
      <c r="C9" s="174"/>
      <c r="D9" s="162"/>
      <c r="E9" s="158"/>
      <c r="F9" s="164"/>
      <c r="G9" s="21" t="s">
        <v>73</v>
      </c>
      <c r="H9" s="21" t="s">
        <v>74</v>
      </c>
      <c r="I9" s="21" t="s">
        <v>78</v>
      </c>
      <c r="J9" s="21" t="s">
        <v>76</v>
      </c>
      <c r="K9" s="160"/>
      <c r="L9" s="7" t="s">
        <v>8</v>
      </c>
      <c r="M9" s="7" t="s">
        <v>7</v>
      </c>
      <c r="N9" s="29" t="s">
        <v>73</v>
      </c>
      <c r="O9" s="29" t="s">
        <v>74</v>
      </c>
      <c r="P9" s="29" t="s">
        <v>75</v>
      </c>
      <c r="Q9" s="1" t="s">
        <v>76</v>
      </c>
      <c r="R9" s="40" t="s">
        <v>77</v>
      </c>
      <c r="S9" s="40" t="s">
        <v>84</v>
      </c>
    </row>
    <row r="10" spans="1:20" s="2" customFormat="1" ht="30" customHeight="1" thickBot="1" x14ac:dyDescent="0.3">
      <c r="A10" s="3">
        <v>1</v>
      </c>
      <c r="B10" s="45" t="s">
        <v>40</v>
      </c>
      <c r="C10" s="6" t="s">
        <v>38</v>
      </c>
      <c r="D10" s="5">
        <v>1</v>
      </c>
      <c r="E10" s="5">
        <v>21</v>
      </c>
      <c r="F10" s="5">
        <v>21</v>
      </c>
      <c r="G10" s="12">
        <v>42.82</v>
      </c>
      <c r="H10" s="41">
        <f>(44.22+43.13+42.94+44.25+43.59+42.25+43+43.15+43.14+45.91+43.02+43.19+43.14+42.82+43.42+42.86+43.31+43.12+43.2+43.82)/20</f>
        <v>43.374000000000002</v>
      </c>
      <c r="I10" s="5">
        <v>1</v>
      </c>
      <c r="J10" s="41">
        <f>H10-G10</f>
        <v>0.55400000000000205</v>
      </c>
      <c r="K10" s="35">
        <v>1.0706018518518517E-2</v>
      </c>
      <c r="L10" s="35">
        <f>K10</f>
        <v>1.0706018518518517E-2</v>
      </c>
      <c r="M10" s="37">
        <f>L10</f>
        <v>1.0706018518518517E-2</v>
      </c>
      <c r="R10" s="44" t="s">
        <v>82</v>
      </c>
      <c r="S10" s="21">
        <v>5</v>
      </c>
      <c r="T10" s="2" t="s">
        <v>85</v>
      </c>
    </row>
    <row r="11" spans="1:20" s="2" customFormat="1" ht="30" customHeight="1" thickBot="1" x14ac:dyDescent="0.3">
      <c r="A11" s="3">
        <v>2</v>
      </c>
      <c r="B11" s="45" t="s">
        <v>39</v>
      </c>
      <c r="C11" s="6" t="s">
        <v>37</v>
      </c>
      <c r="D11" s="5">
        <v>10</v>
      </c>
      <c r="E11" s="5">
        <v>74</v>
      </c>
      <c r="F11" s="18">
        <f>E11-E10</f>
        <v>53</v>
      </c>
      <c r="G11" s="43">
        <v>41.84</v>
      </c>
      <c r="H11" s="42">
        <f>(42.4+43.32+42.57+42.54+42.44+42.25+42.18+42.01+41.84+42.68+42.28+42.23+41.96+42.11+42.32+45.52+42.44+42.19+41.99+42.41+41.91+42.02+42.21+42.47+42.19+42.16+42.14+42.5+42.32+42.28+42.45+42.44+42.2+42.76+42.35+42.37+42.14+42.07+42.07+42.19+43.07+42.38+42.18+42.22+42.27+42.53+42.59+42.53+42.36+42.33+42.45+42.56)/52</f>
        <v>42.39211538461538</v>
      </c>
      <c r="I11" s="5">
        <v>1</v>
      </c>
      <c r="J11" s="47">
        <f t="shared" ref="J11:J13" si="0">H11-G11</f>
        <v>0.55211538461537657</v>
      </c>
      <c r="K11" s="35">
        <v>3.7511574074074072E-2</v>
      </c>
      <c r="L11" s="35">
        <f>K11-K10</f>
        <v>2.6805555555555555E-2</v>
      </c>
      <c r="M11" s="37">
        <f>L11</f>
        <v>2.6805555555555555E-2</v>
      </c>
      <c r="R11" s="44" t="s">
        <v>83</v>
      </c>
      <c r="S11" s="21">
        <v>5</v>
      </c>
      <c r="T11" s="2" t="s">
        <v>86</v>
      </c>
    </row>
    <row r="12" spans="1:20" s="2" customFormat="1" ht="30" customHeight="1" thickBot="1" x14ac:dyDescent="0.3">
      <c r="A12" s="3">
        <v>3</v>
      </c>
      <c r="B12" s="45" t="s">
        <v>40</v>
      </c>
      <c r="C12" s="6" t="s">
        <v>38</v>
      </c>
      <c r="D12" s="5">
        <v>33</v>
      </c>
      <c r="E12" s="5">
        <v>136</v>
      </c>
      <c r="F12" s="18">
        <f>E12-E11</f>
        <v>62</v>
      </c>
      <c r="G12" s="63">
        <v>41.94</v>
      </c>
      <c r="H12" s="42">
        <f>(42.67+42.75+42.29+42.29+42.44+43.41+43.04+42.23+42.33+43.52+42.24+42.45+42.28+42.29+42.09+42.04+42.36+42.17+42.08+42.01+42.15+42.07+42.17+42.38+42.31+42.34+43+42.14+42.17+42.28+42.23+42.36+42.21+42.06+42.15+42.31+42.24+42.21+42.1+42.16+42.02+42.16+42.33+42.15+41.94+42.41+42.25+42.57+42.27+42.75+42.42+43.22+42.02+42.47+42.31+42.44+42.29+42.11+42.39+42.53+42.45)/61</f>
        <v>42.352786885245898</v>
      </c>
      <c r="I12" s="5">
        <v>4</v>
      </c>
      <c r="J12" s="46">
        <f t="shared" si="0"/>
        <v>0.41278688524590024</v>
      </c>
      <c r="K12" s="35">
        <v>6.8715277777777778E-2</v>
      </c>
      <c r="L12" s="35">
        <f>K12-K11</f>
        <v>3.1203703703703706E-2</v>
      </c>
      <c r="M12" s="35">
        <f>L12+L10</f>
        <v>4.1909722222222223E-2</v>
      </c>
      <c r="R12" s="44" t="s">
        <v>81</v>
      </c>
      <c r="S12" s="21">
        <v>5</v>
      </c>
      <c r="T12" s="2" t="s">
        <v>85</v>
      </c>
    </row>
    <row r="13" spans="1:20" s="2" customFormat="1" ht="30" customHeight="1" x14ac:dyDescent="0.25">
      <c r="A13" s="14" t="s">
        <v>17</v>
      </c>
      <c r="B13" s="49" t="s">
        <v>39</v>
      </c>
      <c r="C13" s="11" t="s">
        <v>37</v>
      </c>
      <c r="D13" s="12">
        <v>4</v>
      </c>
      <c r="E13" s="12">
        <v>164</v>
      </c>
      <c r="F13" s="12">
        <f>E13-E12</f>
        <v>28</v>
      </c>
      <c r="G13" s="10">
        <v>42.11</v>
      </c>
      <c r="H13" s="41">
        <f>(42.41+42.16+42.34+42.5+42.39+42.27+42.24+42.49+42.59+42.23+42.56+42.16+42.11+42.52+42.36+43.15+43.34+44.53+44.36+43.99+54.42+44.31+42.64+43.68+42.98+42.5+42.58)/27</f>
        <v>43.252222222222223</v>
      </c>
      <c r="I13" s="5">
        <v>2</v>
      </c>
      <c r="J13" s="41">
        <f t="shared" si="0"/>
        <v>1.1422222222222231</v>
      </c>
      <c r="K13" s="35">
        <v>8.3379629629629637E-2</v>
      </c>
      <c r="L13" s="35">
        <f>K13-K12</f>
        <v>1.4664351851851859E-2</v>
      </c>
      <c r="M13" s="35">
        <f>L13+L11</f>
        <v>4.1469907407407414E-2</v>
      </c>
      <c r="R13" s="44"/>
      <c r="S13" s="21"/>
    </row>
    <row r="14" spans="1:20" s="2" customFormat="1" ht="27" customHeight="1" x14ac:dyDescent="0.25">
      <c r="A14" s="53"/>
      <c r="B14" s="53"/>
      <c r="C14" s="54"/>
      <c r="D14" s="55"/>
      <c r="E14" s="55"/>
      <c r="F14" s="55"/>
      <c r="G14" s="83">
        <f>AVERAGE(G10,G12)</f>
        <v>42.379999999999995</v>
      </c>
      <c r="H14" s="83">
        <f>AVERAGE(H10,H12)</f>
        <v>42.86339344262295</v>
      </c>
      <c r="I14" s="83" t="s">
        <v>129</v>
      </c>
      <c r="J14" s="83">
        <f>AVERAGE(J10,J12)</f>
        <v>0.48339344262295114</v>
      </c>
      <c r="K14" s="52"/>
      <c r="L14" s="52"/>
      <c r="M14" s="52"/>
    </row>
    <row r="15" spans="1:20" s="2" customFormat="1" ht="27" customHeight="1" x14ac:dyDescent="0.25">
      <c r="A15" s="50"/>
      <c r="B15" s="50"/>
      <c r="C15" s="51"/>
      <c r="D15" s="52"/>
      <c r="E15" s="52"/>
      <c r="F15" s="52"/>
      <c r="G15" s="83">
        <f>AVERAGE(G11,G13)</f>
        <v>41.975000000000001</v>
      </c>
      <c r="H15" s="83">
        <f>AVERAGE(H11,H13)</f>
        <v>42.822168803418805</v>
      </c>
      <c r="I15" s="83" t="s">
        <v>130</v>
      </c>
      <c r="J15" s="83">
        <f>AVERAGE(J11,J13)</f>
        <v>0.84716880341879985</v>
      </c>
      <c r="K15" s="52"/>
      <c r="L15" s="52"/>
      <c r="M15" s="52"/>
    </row>
    <row r="16" spans="1:20" ht="27" customHeight="1" x14ac:dyDescent="0.25">
      <c r="A16" s="64"/>
      <c r="B16" s="64"/>
      <c r="C16" s="64"/>
      <c r="D16" s="64"/>
      <c r="E16" s="65"/>
      <c r="F16" s="65"/>
      <c r="G16" s="118">
        <f>AVERAGE(G10:G13)</f>
        <v>42.177499999999995</v>
      </c>
      <c r="H16" s="118">
        <f>AVERAGE(H10:H13)</f>
        <v>42.842781123020877</v>
      </c>
      <c r="I16" s="118"/>
      <c r="J16" s="118">
        <f>AVERAGE(J10:J13)</f>
        <v>0.6652811230208755</v>
      </c>
    </row>
    <row r="18" spans="1:13" ht="20.25" hidden="1" customHeight="1" x14ac:dyDescent="0.25">
      <c r="A18" s="158" t="s">
        <v>6</v>
      </c>
      <c r="B18" s="20"/>
      <c r="C18" s="150" t="s">
        <v>5</v>
      </c>
      <c r="D18" s="22"/>
      <c r="E18" s="150" t="s">
        <v>4</v>
      </c>
      <c r="F18" s="14"/>
      <c r="G18" s="14"/>
      <c r="H18" s="14"/>
      <c r="I18" s="14"/>
      <c r="J18" s="14"/>
      <c r="K18" s="169" t="s">
        <v>3</v>
      </c>
      <c r="L18" s="168" t="s">
        <v>2</v>
      </c>
      <c r="M18" s="168" t="s">
        <v>1</v>
      </c>
    </row>
    <row r="19" spans="1:13" s="1" customFormat="1" ht="20.25" hidden="1" customHeight="1" x14ac:dyDescent="0.25">
      <c r="A19" s="158"/>
      <c r="B19" s="20"/>
      <c r="C19" s="150"/>
      <c r="D19" s="22"/>
      <c r="E19" s="150"/>
      <c r="F19" s="13"/>
      <c r="G19" s="13"/>
      <c r="H19" s="13"/>
      <c r="I19" s="13"/>
      <c r="J19" s="13"/>
      <c r="K19" s="170"/>
      <c r="L19" s="168"/>
      <c r="M19" s="168"/>
    </row>
    <row r="20" spans="1:13" s="2" customFormat="1" ht="30" hidden="1" customHeight="1" x14ac:dyDescent="0.25">
      <c r="A20" s="3">
        <v>1</v>
      </c>
      <c r="B20" s="22"/>
      <c r="C20" s="4"/>
      <c r="D20" s="4"/>
      <c r="E20" s="3"/>
      <c r="F20" s="22"/>
      <c r="G20" s="22"/>
      <c r="H20" s="22"/>
      <c r="I20" s="22"/>
      <c r="J20" s="22"/>
      <c r="K20" s="3"/>
      <c r="L20" s="3"/>
      <c r="M20" s="3"/>
    </row>
    <row r="21" spans="1:13" s="2" customFormat="1" ht="30" hidden="1" customHeight="1" x14ac:dyDescent="0.25">
      <c r="A21" s="3">
        <v>2</v>
      </c>
      <c r="B21" s="22"/>
      <c r="C21" s="4"/>
      <c r="D21" s="4"/>
      <c r="E21" s="3"/>
      <c r="F21" s="22"/>
      <c r="G21" s="22"/>
      <c r="H21" s="22"/>
      <c r="I21" s="22"/>
      <c r="J21" s="22"/>
      <c r="K21" s="3"/>
      <c r="L21" s="3"/>
      <c r="M21" s="3"/>
    </row>
    <row r="22" spans="1:13" s="2" customFormat="1" ht="30" hidden="1" customHeight="1" x14ac:dyDescent="0.25">
      <c r="A22" s="3">
        <v>3</v>
      </c>
      <c r="B22" s="22"/>
      <c r="C22" s="4"/>
      <c r="D22" s="4"/>
      <c r="E22" s="3"/>
      <c r="F22" s="22"/>
      <c r="G22" s="22"/>
      <c r="H22" s="22"/>
      <c r="I22" s="22"/>
      <c r="J22" s="22"/>
      <c r="K22" s="3"/>
      <c r="L22" s="3"/>
      <c r="M22" s="3"/>
    </row>
    <row r="23" spans="1:13" hidden="1" x14ac:dyDescent="0.25">
      <c r="A23" t="s">
        <v>0</v>
      </c>
    </row>
  </sheetData>
  <mergeCells count="16">
    <mergeCell ref="A4:M4"/>
    <mergeCell ref="A6:M6"/>
    <mergeCell ref="A8:A9"/>
    <mergeCell ref="E8:E9"/>
    <mergeCell ref="K8:K9"/>
    <mergeCell ref="L8:M8"/>
    <mergeCell ref="D8:D9"/>
    <mergeCell ref="G8:J8"/>
    <mergeCell ref="F8:F9"/>
    <mergeCell ref="B8:C9"/>
    <mergeCell ref="M18:M19"/>
    <mergeCell ref="A18:A19"/>
    <mergeCell ref="C18:C19"/>
    <mergeCell ref="E18:E19"/>
    <mergeCell ref="K18:K19"/>
    <mergeCell ref="L18:L19"/>
  </mergeCells>
  <phoneticPr fontId="0" type="noConversion"/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topLeftCell="A3" zoomScale="75" zoomScaleNormal="75" workbookViewId="0">
      <selection activeCell="H10" sqref="H10"/>
    </sheetView>
  </sheetViews>
  <sheetFormatPr defaultRowHeight="15" x14ac:dyDescent="0.25"/>
  <cols>
    <col min="1" max="1" width="8.7109375" customWidth="1"/>
    <col min="2" max="2" width="30.7109375" customWidth="1"/>
    <col min="3" max="3" width="10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 x14ac:dyDescent="0.3">
      <c r="A4" s="155" t="s">
        <v>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5" ht="7.5" customHeight="1" x14ac:dyDescent="0.25"/>
    <row r="6" spans="1:15" ht="17.25" x14ac:dyDescent="0.3">
      <c r="A6" s="156" t="s">
        <v>47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5" ht="7.5" customHeight="1" x14ac:dyDescent="0.25"/>
    <row r="8" spans="1:15" s="1" customFormat="1" ht="20.25" customHeight="1" x14ac:dyDescent="0.25">
      <c r="A8" s="157" t="s">
        <v>11</v>
      </c>
      <c r="B8" s="158" t="s">
        <v>10</v>
      </c>
      <c r="C8" s="161" t="s">
        <v>21</v>
      </c>
      <c r="D8" s="158" t="s">
        <v>4</v>
      </c>
      <c r="E8" s="163" t="s">
        <v>80</v>
      </c>
      <c r="F8" s="165" t="s">
        <v>79</v>
      </c>
      <c r="G8" s="166"/>
      <c r="H8" s="166"/>
      <c r="I8" s="167"/>
      <c r="J8" s="159" t="s">
        <v>18</v>
      </c>
      <c r="K8" s="157" t="s">
        <v>9</v>
      </c>
      <c r="L8" s="157"/>
    </row>
    <row r="9" spans="1:15" s="1" customFormat="1" ht="27.75" customHeight="1" x14ac:dyDescent="0.25">
      <c r="A9" s="157"/>
      <c r="B9" s="158"/>
      <c r="C9" s="162"/>
      <c r="D9" s="158"/>
      <c r="E9" s="164"/>
      <c r="F9" s="23" t="s">
        <v>73</v>
      </c>
      <c r="G9" s="23" t="s">
        <v>74</v>
      </c>
      <c r="H9" s="23" t="s">
        <v>78</v>
      </c>
      <c r="I9" s="21" t="s">
        <v>76</v>
      </c>
      <c r="J9" s="160"/>
      <c r="K9" s="19" t="s">
        <v>8</v>
      </c>
      <c r="L9" s="19" t="s">
        <v>7</v>
      </c>
      <c r="M9" s="40" t="s">
        <v>77</v>
      </c>
      <c r="N9" s="40" t="s">
        <v>84</v>
      </c>
    </row>
    <row r="10" spans="1:15" s="2" customFormat="1" ht="30" customHeight="1" x14ac:dyDescent="0.25">
      <c r="A10" s="22">
        <v>1</v>
      </c>
      <c r="B10" s="6" t="s">
        <v>50</v>
      </c>
      <c r="C10" s="5">
        <v>6</v>
      </c>
      <c r="D10" s="5">
        <v>35</v>
      </c>
      <c r="E10" s="58">
        <f>D10</f>
        <v>35</v>
      </c>
      <c r="F10" s="69">
        <v>42.17</v>
      </c>
      <c r="G10" s="73">
        <f>(42.81+42.71+44.46+43.96+43.21+43.14+42.65+42.53+42.48+42.77+42.51+42.49+42.83+42.4+42.6+42.37+42.17+42.42+42.53+42.71+42.36+43.48+43.68+42.53+43.15+42.42+42.36+42.53+42.68+43.04+42.91+43.73+42.78+42.5)/34</f>
        <v>42.820588235294117</v>
      </c>
      <c r="H10" s="69">
        <v>0</v>
      </c>
      <c r="I10" s="57">
        <f>G10-F10</f>
        <v>0.65058823529411569</v>
      </c>
      <c r="J10" s="36">
        <v>1.7430555555555557E-2</v>
      </c>
      <c r="K10" s="36">
        <f>J10</f>
        <v>1.7430555555555557E-2</v>
      </c>
      <c r="L10" s="38">
        <f>K10</f>
        <v>1.7430555555555557E-2</v>
      </c>
      <c r="M10" s="44" t="s">
        <v>94</v>
      </c>
      <c r="N10" s="21">
        <v>-64</v>
      </c>
      <c r="O10" s="2" t="s">
        <v>98</v>
      </c>
    </row>
    <row r="11" spans="1:15" s="2" customFormat="1" ht="30" customHeight="1" thickBot="1" x14ac:dyDescent="0.3">
      <c r="A11" s="22">
        <v>2</v>
      </c>
      <c r="B11" s="6" t="s">
        <v>72</v>
      </c>
      <c r="C11" s="5">
        <v>2</v>
      </c>
      <c r="D11" s="5">
        <v>73</v>
      </c>
      <c r="E11" s="58">
        <f>D11-D10</f>
        <v>38</v>
      </c>
      <c r="F11" s="75">
        <v>42.55</v>
      </c>
      <c r="G11" s="73">
        <f>(42.87+43.23+42.96+42.74+42.55+42.68+43.09+44.71+43.88+43.74+45.31+42.62+42.67+45.06+43.28+42.95+44.28+42.88+42.81+42.9+43.21+43.01+42.79+42.65+42.72+42.89+42.83+42.99+42.98+43.16+43.05+42.91+42.78+42.63+42.82+42.83+43.23)/37</f>
        <v>43.153783783783787</v>
      </c>
      <c r="H11" s="69">
        <v>3</v>
      </c>
      <c r="I11" s="46">
        <f t="shared" ref="I11:I13" si="0">G11-F11</f>
        <v>0.60378378378378983</v>
      </c>
      <c r="J11" s="36">
        <v>3.695601851851852E-2</v>
      </c>
      <c r="K11" s="36">
        <f>J11-J10</f>
        <v>1.9525462962962963E-2</v>
      </c>
      <c r="L11" s="38">
        <f>K11</f>
        <v>1.9525462962962963E-2</v>
      </c>
      <c r="M11" s="44" t="s">
        <v>95</v>
      </c>
      <c r="N11" s="21" t="s">
        <v>97</v>
      </c>
      <c r="O11" s="2" t="s">
        <v>99</v>
      </c>
    </row>
    <row r="12" spans="1:15" s="2" customFormat="1" ht="30" customHeight="1" thickBot="1" x14ac:dyDescent="0.3">
      <c r="A12" s="22">
        <v>3</v>
      </c>
      <c r="B12" s="6" t="s">
        <v>50</v>
      </c>
      <c r="C12" s="5">
        <v>3</v>
      </c>
      <c r="D12" s="5">
        <v>126</v>
      </c>
      <c r="E12" s="58">
        <f>D12-D11</f>
        <v>53</v>
      </c>
      <c r="F12" s="43">
        <v>42.11</v>
      </c>
      <c r="G12" s="74">
        <f>(42.51+42.43+42.37+42.83+42.68+42.44+42.63+42.69+42.47+42.67+42.65+42.67+43+42.65+42.47+42.5+42.56+42.37+42.58+43.39+42.11+42.4+42.26+42.79+42.46+42.27+42.63+42.5+42.33+42.42+42.33+42.46+42.4+42.32+42.3+42.47+42.45+42.42+42.42+42.21+42.31+42.73+44.35+42.44+43.27+42.72+42.34+42.33+42.34+42.39+42.35+42.63)/52</f>
        <v>42.552115384615384</v>
      </c>
      <c r="H12" s="69">
        <v>1</v>
      </c>
      <c r="I12" s="48">
        <f t="shared" si="0"/>
        <v>0.44211538461538424</v>
      </c>
      <c r="J12" s="36">
        <v>6.3773148148148148E-2</v>
      </c>
      <c r="K12" s="36">
        <f>J12-J11</f>
        <v>2.6817129629629628E-2</v>
      </c>
      <c r="L12" s="36">
        <f>K12+K10</f>
        <v>4.4247685185185182E-2</v>
      </c>
      <c r="M12" s="44" t="s">
        <v>96</v>
      </c>
      <c r="N12" s="21"/>
    </row>
    <row r="13" spans="1:15" s="2" customFormat="1" ht="30" customHeight="1" x14ac:dyDescent="0.25">
      <c r="A13" s="14" t="s">
        <v>17</v>
      </c>
      <c r="B13" s="11" t="s">
        <v>72</v>
      </c>
      <c r="C13" s="12">
        <v>10</v>
      </c>
      <c r="D13" s="12">
        <v>164</v>
      </c>
      <c r="E13" s="58">
        <f>D13-D12</f>
        <v>38</v>
      </c>
      <c r="F13" s="85">
        <v>42.37</v>
      </c>
      <c r="G13" s="82">
        <f>(42.56+42.76+42.74+42.48+42.49+42.37+42.83+42.68+42.77+42.7+42.6+42.77+42.77+42.57+42.76+42.63+42.51+44.92+42.8+42.43+42.47+42.48+42.51+42.81+42.73+43.38+43.47+44.45+44.4+44.07+45.6+47.9+43.19+43.03+42.88+43.07+43.01)/37</f>
        <v>43.151081081081088</v>
      </c>
      <c r="H13" s="71">
        <v>2</v>
      </c>
      <c r="I13" s="87">
        <f t="shared" si="0"/>
        <v>0.78108108108109064</v>
      </c>
      <c r="J13" s="72">
        <v>8.3425925925925917E-2</v>
      </c>
      <c r="K13" s="72">
        <f>J13-J12</f>
        <v>1.9652777777777769E-2</v>
      </c>
      <c r="L13" s="72">
        <f>K13+K11</f>
        <v>3.9178240740740736E-2</v>
      </c>
      <c r="M13" s="44"/>
      <c r="N13" s="21"/>
    </row>
    <row r="14" spans="1:15" s="2" customFormat="1" ht="30" customHeight="1" x14ac:dyDescent="0.25">
      <c r="A14" s="53"/>
      <c r="B14" s="54"/>
      <c r="C14" s="55"/>
      <c r="D14" s="55"/>
      <c r="E14" s="55"/>
      <c r="F14" s="83">
        <f>AVERAGE(F10,F12)</f>
        <v>42.14</v>
      </c>
      <c r="G14" s="83">
        <f>AVERAGE(G10,G12)</f>
        <v>42.686351809954751</v>
      </c>
      <c r="H14" s="83" t="s">
        <v>129</v>
      </c>
      <c r="I14" s="83">
        <f>AVERAGE(I10,I12)</f>
        <v>0.54635180995474997</v>
      </c>
      <c r="J14" s="55"/>
      <c r="K14" s="55"/>
      <c r="L14" s="55"/>
    </row>
    <row r="15" spans="1:15" ht="27.75" customHeight="1" x14ac:dyDescent="0.25">
      <c r="F15" s="83">
        <f>AVERAGE(F11,F13)</f>
        <v>42.459999999999994</v>
      </c>
      <c r="G15" s="83">
        <f>AVERAGE(G11,G13)</f>
        <v>43.152432432432434</v>
      </c>
      <c r="H15" s="83" t="s">
        <v>148</v>
      </c>
      <c r="I15" s="83">
        <f>AVERAGE(I11,I13)</f>
        <v>0.69243243243244024</v>
      </c>
      <c r="M15" s="2"/>
      <c r="N15" s="2"/>
    </row>
    <row r="16" spans="1:15" ht="27.75" customHeight="1" x14ac:dyDescent="0.25">
      <c r="F16" s="118">
        <f>AVERAGE(F10:F13)</f>
        <v>42.3</v>
      </c>
      <c r="G16" s="118">
        <f>AVERAGE(G10:G13)</f>
        <v>42.919392121193596</v>
      </c>
      <c r="H16" s="118"/>
      <c r="I16" s="118">
        <f>AVERAGE(I10:I13)</f>
        <v>0.6193921211935951</v>
      </c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Общие результаты</vt:lpstr>
      <vt:lpstr>Регистрация</vt:lpstr>
      <vt:lpstr>Kozak i razboyniki</vt:lpstr>
      <vt:lpstr>Mesnyki</vt:lpstr>
      <vt:lpstr>Ognem Racing</vt:lpstr>
      <vt:lpstr>Fury</vt:lpstr>
      <vt:lpstr>46</vt:lpstr>
      <vt:lpstr>Fortune</vt:lpstr>
      <vt:lpstr>FNT</vt:lpstr>
      <vt:lpstr>Chayka Sсhool</vt:lpstr>
      <vt:lpstr>Levi 9</vt:lpstr>
      <vt:lpstr>Jaguar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Картинг</cp:lastModifiedBy>
  <cp:lastPrinted>2016-07-05T12:34:18Z</cp:lastPrinted>
  <dcterms:created xsi:type="dcterms:W3CDTF">2012-07-06T15:34:01Z</dcterms:created>
  <dcterms:modified xsi:type="dcterms:W3CDTF">2016-07-21T12:03:28Z</dcterms:modified>
</cp:coreProperties>
</file>