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9"/>
  </bookViews>
  <sheets>
    <sheet name="21.06" sheetId="1" r:id="rId1"/>
    <sheet name="28.06" sheetId="2" r:id="rId2"/>
    <sheet name="05.07" sheetId="3" r:id="rId3"/>
    <sheet name="12.07 " sheetId="4" r:id="rId4"/>
    <sheet name="19.07" sheetId="5" r:id="rId5"/>
    <sheet name="26.07" sheetId="12" r:id="rId6"/>
    <sheet name="02.08" sheetId="13" r:id="rId7"/>
    <sheet name="09.08" sheetId="14" r:id="rId8"/>
    <sheet name="16.08" sheetId="15" r:id="rId9"/>
    <sheet name="30.08" sheetId="17" r:id="rId10"/>
    <sheet name="Лист2" sheetId="16" r:id="rId11"/>
  </sheets>
  <definedNames>
    <definedName name="_xlnm._FilterDatabase" localSheetId="6" hidden="1">'02.08'!$A$4:$I$4</definedName>
    <definedName name="_xlnm._FilterDatabase" localSheetId="7" hidden="1">'09.08'!$A$4:$I$4</definedName>
    <definedName name="_xlnm._FilterDatabase" localSheetId="8" hidden="1">'16.08'!$A$1:$I$37</definedName>
    <definedName name="_xlnm._FilterDatabase" localSheetId="5" hidden="1">'26.07'!$A$4:$I$4</definedName>
    <definedName name="_xlnm._FilterDatabase" localSheetId="9" hidden="1">'30.08'!$A$1:$J$37</definedName>
  </definedNames>
  <calcPr calcId="145621"/>
</workbook>
</file>

<file path=xl/calcChain.xml><?xml version="1.0" encoding="utf-8"?>
<calcChain xmlns="http://schemas.openxmlformats.org/spreadsheetml/2006/main">
  <c r="I5" i="17" l="1"/>
  <c r="H5" i="17"/>
  <c r="J5" i="17"/>
  <c r="H6" i="17"/>
  <c r="I6" i="17"/>
  <c r="I8" i="17"/>
  <c r="I7" i="17"/>
  <c r="I11" i="17"/>
  <c r="I10" i="17"/>
  <c r="H8" i="17"/>
  <c r="J8" i="17" s="1"/>
  <c r="H10" i="17"/>
  <c r="J10" i="17" s="1"/>
  <c r="H11" i="17"/>
  <c r="I26" i="17"/>
  <c r="I24" i="17"/>
  <c r="I16" i="17"/>
  <c r="J16" i="17" s="1"/>
  <c r="I30" i="17"/>
  <c r="J30" i="17" s="1"/>
  <c r="I14" i="17"/>
  <c r="I12" i="17"/>
  <c r="I13" i="17"/>
  <c r="I20" i="17"/>
  <c r="I31" i="17"/>
  <c r="I32" i="17"/>
  <c r="J32" i="17" s="1"/>
  <c r="I34" i="17"/>
  <c r="I23" i="17"/>
  <c r="J23" i="17" s="1"/>
  <c r="I21" i="17"/>
  <c r="H12" i="17"/>
  <c r="J12" i="17" s="1"/>
  <c r="H14" i="17"/>
  <c r="H9" i="17"/>
  <c r="J9" i="17" s="1"/>
  <c r="H7" i="17"/>
  <c r="H36" i="17"/>
  <c r="J36" i="17" s="1"/>
  <c r="H35" i="17"/>
  <c r="J35" i="17" s="1"/>
  <c r="H33" i="17"/>
  <c r="J33" i="17" s="1"/>
  <c r="H25" i="17"/>
  <c r="H18" i="17"/>
  <c r="J18" i="17" s="1"/>
  <c r="H34" i="17"/>
  <c r="H29" i="17"/>
  <c r="J29" i="17" s="1"/>
  <c r="H21" i="17"/>
  <c r="J21" i="17" s="1"/>
  <c r="H31" i="17"/>
  <c r="J31" i="17" s="1"/>
  <c r="H30" i="17"/>
  <c r="H24" i="17"/>
  <c r="H26" i="17"/>
  <c r="H13" i="17"/>
  <c r="J13" i="17" s="1"/>
  <c r="H27" i="17"/>
  <c r="H19" i="17"/>
  <c r="J19" i="17" s="1"/>
  <c r="J17" i="17"/>
  <c r="J42" i="17"/>
  <c r="J43" i="17"/>
  <c r="J14" i="17"/>
  <c r="J28" i="17"/>
  <c r="J25" i="17"/>
  <c r="J22" i="17"/>
  <c r="J27" i="17"/>
  <c r="J41" i="17"/>
  <c r="J40" i="17"/>
  <c r="J39" i="17"/>
  <c r="J38" i="17"/>
  <c r="J20" i="17"/>
  <c r="J24" i="17"/>
  <c r="J37" i="17"/>
  <c r="J15" i="17"/>
  <c r="J6" i="17" l="1"/>
  <c r="J11" i="17"/>
  <c r="J7" i="17"/>
  <c r="J26" i="17"/>
  <c r="J34" i="17"/>
  <c r="H9" i="15"/>
  <c r="H19" i="15"/>
  <c r="H11" i="15"/>
  <c r="H8" i="15"/>
  <c r="H5" i="15"/>
  <c r="H7" i="15"/>
  <c r="H10" i="15"/>
  <c r="H20" i="15"/>
  <c r="H6" i="15"/>
  <c r="H15" i="15"/>
  <c r="H12" i="15"/>
  <c r="H24" i="15"/>
  <c r="H26" i="15"/>
  <c r="H22" i="15"/>
  <c r="H17" i="15"/>
  <c r="H29" i="15"/>
  <c r="H16" i="15"/>
  <c r="H34" i="15"/>
  <c r="H14" i="15"/>
  <c r="H18" i="15"/>
  <c r="H32" i="15"/>
  <c r="H30" i="15"/>
  <c r="H27" i="15"/>
  <c r="H31" i="15"/>
  <c r="H25" i="15"/>
  <c r="H13" i="15"/>
  <c r="H28" i="15"/>
  <c r="H23" i="15"/>
  <c r="H33" i="15"/>
  <c r="H21" i="15"/>
  <c r="G20" i="15"/>
  <c r="G7" i="15"/>
  <c r="G8" i="15"/>
  <c r="G19" i="15"/>
  <c r="G5" i="15"/>
  <c r="G10" i="15"/>
  <c r="G12" i="15"/>
  <c r="G9" i="15"/>
  <c r="G15" i="15"/>
  <c r="G18" i="15"/>
  <c r="G13" i="15"/>
  <c r="G11" i="15"/>
  <c r="G33" i="15"/>
  <c r="G21" i="15"/>
  <c r="G24" i="15"/>
  <c r="G34" i="15"/>
  <c r="G14" i="15"/>
  <c r="G6" i="15"/>
  <c r="G16" i="15"/>
  <c r="G17" i="15"/>
  <c r="G28" i="15"/>
  <c r="G32" i="15"/>
  <c r="G29" i="15"/>
  <c r="G23" i="15"/>
  <c r="G31" i="15"/>
  <c r="G30" i="15"/>
  <c r="G27" i="15"/>
  <c r="G25" i="15"/>
  <c r="G26" i="15"/>
  <c r="G22" i="15"/>
  <c r="I37" i="15" l="1"/>
  <c r="I36" i="15"/>
  <c r="I35" i="15"/>
  <c r="I31" i="15"/>
  <c r="I14" i="15"/>
  <c r="I24" i="15"/>
  <c r="I30" i="15"/>
  <c r="I7" i="15"/>
  <c r="I10" i="15"/>
  <c r="I22" i="15"/>
  <c r="I23" i="15"/>
  <c r="I26" i="15"/>
  <c r="I28" i="15"/>
  <c r="I21" i="15"/>
  <c r="I25" i="15"/>
  <c r="I5" i="15"/>
  <c r="I17" i="15"/>
  <c r="I16" i="15"/>
  <c r="I20" i="15"/>
  <c r="I6" i="15"/>
  <c r="I19" i="15"/>
  <c r="I18" i="15"/>
  <c r="I34" i="15"/>
  <c r="I15" i="15"/>
  <c r="I32" i="15"/>
  <c r="I27" i="15"/>
  <c r="I11" i="15"/>
  <c r="I33" i="15"/>
  <c r="I29" i="15"/>
  <c r="I13" i="15"/>
  <c r="I8" i="15"/>
  <c r="I12" i="15"/>
  <c r="I9" i="15"/>
  <c r="H13" i="14" l="1"/>
  <c r="H9" i="14"/>
  <c r="H11" i="14"/>
  <c r="H5" i="14"/>
  <c r="H6" i="14"/>
  <c r="H16" i="14"/>
  <c r="H12" i="14"/>
  <c r="H7" i="14"/>
  <c r="H15" i="14"/>
  <c r="H8" i="14"/>
  <c r="H10" i="14"/>
  <c r="H26" i="14"/>
  <c r="H29" i="14"/>
  <c r="H19" i="14"/>
  <c r="H18" i="14"/>
  <c r="H17" i="14"/>
  <c r="H14" i="14"/>
  <c r="H23" i="14"/>
  <c r="I23" i="14" s="1"/>
  <c r="I13" i="14"/>
  <c r="H21" i="14"/>
  <c r="I21" i="14" s="1"/>
  <c r="H30" i="14"/>
  <c r="H28" i="14"/>
  <c r="H22" i="14"/>
  <c r="H33" i="14"/>
  <c r="H27" i="14"/>
  <c r="H25" i="14"/>
  <c r="I25" i="14" s="1"/>
  <c r="H20" i="14"/>
  <c r="I20" i="14" s="1"/>
  <c r="H24" i="14"/>
  <c r="I24" i="14" s="1"/>
  <c r="H31" i="14"/>
  <c r="G11" i="14"/>
  <c r="G10" i="14"/>
  <c r="G5" i="14"/>
  <c r="I5" i="14" s="1"/>
  <c r="G12" i="14"/>
  <c r="G6" i="14"/>
  <c r="G26" i="14"/>
  <c r="G16" i="14"/>
  <c r="I16" i="14" s="1"/>
  <c r="G9" i="14"/>
  <c r="I9" i="14" s="1"/>
  <c r="G7" i="14"/>
  <c r="I7" i="14" s="1"/>
  <c r="G15" i="14"/>
  <c r="G8" i="14"/>
  <c r="G29" i="14"/>
  <c r="I29" i="14" s="1"/>
  <c r="G19" i="14"/>
  <c r="I19" i="14" s="1"/>
  <c r="G18" i="14"/>
  <c r="G17" i="14"/>
  <c r="I17" i="14" s="1"/>
  <c r="G22" i="14"/>
  <c r="G14" i="14"/>
  <c r="G25" i="14"/>
  <c r="G23" i="14"/>
  <c r="G13" i="14"/>
  <c r="G21" i="14"/>
  <c r="G28" i="14"/>
  <c r="G33" i="14"/>
  <c r="G27" i="14"/>
  <c r="G24" i="14"/>
  <c r="G32" i="14"/>
  <c r="I32" i="14" s="1"/>
  <c r="G30" i="14"/>
  <c r="I30" i="14" s="1"/>
  <c r="G31" i="14"/>
  <c r="I43" i="14"/>
  <c r="I42" i="14"/>
  <c r="I41" i="14"/>
  <c r="I40" i="14"/>
  <c r="I39" i="14"/>
  <c r="I38" i="14"/>
  <c r="I37" i="14"/>
  <c r="I36" i="14"/>
  <c r="I35" i="14"/>
  <c r="I34" i="14"/>
  <c r="I26" i="14"/>
  <c r="I18" i="14"/>
  <c r="I28" i="14"/>
  <c r="I22" i="14"/>
  <c r="I33" i="14"/>
  <c r="I27" i="14"/>
  <c r="I14" i="14"/>
  <c r="I31" i="14"/>
  <c r="I6" i="14"/>
  <c r="I12" i="14" l="1"/>
  <c r="I15" i="14"/>
  <c r="I8" i="14"/>
  <c r="I10" i="14"/>
  <c r="I11" i="14"/>
  <c r="H21" i="13"/>
  <c r="H11" i="13"/>
  <c r="I11" i="13" s="1"/>
  <c r="H10" i="13"/>
  <c r="H5" i="13"/>
  <c r="I5" i="13" s="1"/>
  <c r="H8" i="13"/>
  <c r="H12" i="13"/>
  <c r="I12" i="13" s="1"/>
  <c r="H7" i="13"/>
  <c r="H6" i="13"/>
  <c r="H20" i="13"/>
  <c r="H32" i="13"/>
  <c r="H17" i="13"/>
  <c r="H18" i="13"/>
  <c r="I18" i="13" s="1"/>
  <c r="H26" i="13"/>
  <c r="H22" i="13"/>
  <c r="I22" i="13" s="1"/>
  <c r="I21" i="13"/>
  <c r="H15" i="13"/>
  <c r="H25" i="13"/>
  <c r="I25" i="13" s="1"/>
  <c r="H14" i="13"/>
  <c r="H33" i="13"/>
  <c r="I33" i="13" s="1"/>
  <c r="H24" i="13"/>
  <c r="H34" i="13"/>
  <c r="H30" i="13"/>
  <c r="H16" i="13"/>
  <c r="I16" i="13" s="1"/>
  <c r="H23" i="13"/>
  <c r="G10" i="13"/>
  <c r="I10" i="13" s="1"/>
  <c r="G11" i="13"/>
  <c r="G8" i="13"/>
  <c r="G5" i="13"/>
  <c r="G6" i="13"/>
  <c r="G16" i="13"/>
  <c r="G13" i="13"/>
  <c r="I13" i="13" s="1"/>
  <c r="G17" i="13"/>
  <c r="G12" i="13"/>
  <c r="G7" i="13"/>
  <c r="G23" i="13"/>
  <c r="G14" i="13"/>
  <c r="I14" i="13" s="1"/>
  <c r="G20" i="13"/>
  <c r="G19" i="13"/>
  <c r="G24" i="13"/>
  <c r="G18" i="13"/>
  <c r="G21" i="13"/>
  <c r="G9" i="13"/>
  <c r="I9" i="13" s="1"/>
  <c r="G15" i="13"/>
  <c r="G32" i="13"/>
  <c r="I32" i="13" s="1"/>
  <c r="G26" i="13"/>
  <c r="G22" i="13"/>
  <c r="G29" i="13"/>
  <c r="I34" i="13"/>
  <c r="I27" i="13"/>
  <c r="I29" i="13"/>
  <c r="I43" i="13"/>
  <c r="I31" i="13"/>
  <c r="I19" i="13"/>
  <c r="I7" i="13"/>
  <c r="I28" i="13"/>
  <c r="I6" i="13"/>
  <c r="I42" i="13"/>
  <c r="I30" i="13"/>
  <c r="I41" i="13"/>
  <c r="I15" i="13"/>
  <c r="I40" i="13"/>
  <c r="I39" i="13"/>
  <c r="I17" i="13"/>
  <c r="I23" i="13"/>
  <c r="I38" i="13"/>
  <c r="I37" i="13"/>
  <c r="I36" i="13"/>
  <c r="I35" i="13"/>
  <c r="I8" i="13"/>
  <c r="I20" i="13" l="1"/>
  <c r="I26" i="13"/>
  <c r="I24" i="13"/>
  <c r="H9" i="12"/>
  <c r="H11" i="12"/>
  <c r="H6" i="12"/>
  <c r="H12" i="12"/>
  <c r="H10" i="12"/>
  <c r="I10" i="12" s="1"/>
  <c r="H7" i="12"/>
  <c r="I7" i="12" s="1"/>
  <c r="H8" i="12"/>
  <c r="H15" i="12"/>
  <c r="H14" i="12"/>
  <c r="I14" i="12" s="1"/>
  <c r="H13" i="12"/>
  <c r="H5" i="12"/>
  <c r="H30" i="12"/>
  <c r="H24" i="12"/>
  <c r="I24" i="12" s="1"/>
  <c r="H22" i="12"/>
  <c r="H19" i="12"/>
  <c r="H16" i="12"/>
  <c r="H23" i="12"/>
  <c r="H20" i="12"/>
  <c r="H21" i="12"/>
  <c r="H17" i="12"/>
  <c r="G33" i="12"/>
  <c r="I33" i="12" s="1"/>
  <c r="G34" i="12"/>
  <c r="H34" i="12"/>
  <c r="H33" i="12"/>
  <c r="H31" i="12"/>
  <c r="H27" i="12"/>
  <c r="H25" i="12"/>
  <c r="I25" i="12" s="1"/>
  <c r="H29" i="12"/>
  <c r="H28" i="12"/>
  <c r="H26" i="12"/>
  <c r="H18" i="12"/>
  <c r="G15" i="12"/>
  <c r="G7" i="12"/>
  <c r="G9" i="12"/>
  <c r="G8" i="12"/>
  <c r="G6" i="12"/>
  <c r="I21" i="12"/>
  <c r="I27" i="12"/>
  <c r="I5" i="12"/>
  <c r="I30" i="12"/>
  <c r="I12" i="12"/>
  <c r="I26" i="12"/>
  <c r="I6" i="12"/>
  <c r="I11" i="12"/>
  <c r="I13" i="12"/>
  <c r="I18" i="12"/>
  <c r="I16" i="12"/>
  <c r="I9" i="12"/>
  <c r="I28" i="12"/>
  <c r="I31" i="12"/>
  <c r="I15" i="12"/>
  <c r="I17" i="12"/>
  <c r="I34" i="12"/>
  <c r="I22" i="12"/>
  <c r="I20" i="12"/>
  <c r="I29" i="12"/>
  <c r="I19" i="12"/>
  <c r="I23" i="12"/>
  <c r="I32" i="12"/>
  <c r="G19" i="12"/>
  <c r="G11" i="12"/>
  <c r="G14" i="12"/>
  <c r="G10" i="12"/>
  <c r="G12" i="12"/>
  <c r="G5" i="12"/>
  <c r="G24" i="12"/>
  <c r="G26" i="12"/>
  <c r="G21" i="12"/>
  <c r="G22" i="12"/>
  <c r="G17" i="12"/>
  <c r="G13" i="12"/>
  <c r="G20" i="12"/>
  <c r="G18" i="12"/>
  <c r="G16" i="12"/>
  <c r="G32" i="12"/>
  <c r="G28" i="12"/>
  <c r="G29" i="12"/>
  <c r="G31" i="12"/>
  <c r="G23" i="12"/>
  <c r="G25" i="12"/>
  <c r="G30" i="12"/>
  <c r="G27" i="12"/>
  <c r="I8" i="12" l="1"/>
  <c r="H7" i="5" l="1"/>
  <c r="I7" i="5" s="1"/>
  <c r="H6" i="5"/>
  <c r="I6" i="5" s="1"/>
  <c r="H13" i="5"/>
  <c r="H11" i="5"/>
  <c r="I11" i="5" s="1"/>
  <c r="H5" i="5"/>
  <c r="H10" i="5"/>
  <c r="I10" i="5" s="1"/>
  <c r="H15" i="5"/>
  <c r="I15" i="5" s="1"/>
  <c r="H9" i="5"/>
  <c r="I9" i="5" s="1"/>
  <c r="H12" i="5"/>
  <c r="H8" i="5"/>
  <c r="G14" i="5"/>
  <c r="H24" i="5"/>
  <c r="H22" i="5"/>
  <c r="I22" i="5" s="1"/>
  <c r="H21" i="5"/>
  <c r="H23" i="5"/>
  <c r="I23" i="5" s="1"/>
  <c r="H20" i="5"/>
  <c r="I20" i="5" s="1"/>
  <c r="H16" i="5"/>
  <c r="H18" i="5"/>
  <c r="H14" i="5"/>
  <c r="H19" i="5"/>
  <c r="H17" i="5"/>
  <c r="H34" i="5"/>
  <c r="I34" i="5" s="1"/>
  <c r="H33" i="5"/>
  <c r="H30" i="5"/>
  <c r="I30" i="5" s="1"/>
  <c r="H28" i="5"/>
  <c r="I28" i="5" s="1"/>
  <c r="H29" i="5"/>
  <c r="H31" i="5"/>
  <c r="H25" i="5"/>
  <c r="I25" i="5" s="1"/>
  <c r="H27" i="5"/>
  <c r="I27" i="5" s="1"/>
  <c r="H26" i="5"/>
  <c r="G8" i="5"/>
  <c r="I8" i="5" s="1"/>
  <c r="G5" i="5"/>
  <c r="G13" i="5"/>
  <c r="G11" i="5"/>
  <c r="G10" i="5"/>
  <c r="G6" i="5"/>
  <c r="G12" i="5"/>
  <c r="G21" i="5"/>
  <c r="G9" i="5"/>
  <c r="G16" i="5"/>
  <c r="G22" i="5"/>
  <c r="G23" i="5"/>
  <c r="G7" i="5"/>
  <c r="G15" i="5"/>
  <c r="G27" i="5"/>
  <c r="G19" i="5"/>
  <c r="G24" i="5"/>
  <c r="G17" i="5"/>
  <c r="G26" i="5"/>
  <c r="I26" i="5" s="1"/>
  <c r="G34" i="5"/>
  <c r="G33" i="5"/>
  <c r="G29" i="5"/>
  <c r="G25" i="5"/>
  <c r="I37" i="5"/>
  <c r="I21" i="5"/>
  <c r="I32" i="5"/>
  <c r="I33" i="5"/>
  <c r="I12" i="5"/>
  <c r="I29" i="5"/>
  <c r="I14" i="5"/>
  <c r="I36" i="5"/>
  <c r="I31" i="5"/>
  <c r="I16" i="5"/>
  <c r="I18" i="5"/>
  <c r="I13" i="5"/>
  <c r="I35" i="5"/>
  <c r="I17" i="5"/>
  <c r="I19" i="5"/>
  <c r="I24" i="5"/>
  <c r="H5" i="4" l="1"/>
  <c r="H15" i="4"/>
  <c r="H18" i="4"/>
  <c r="H7" i="4"/>
  <c r="H10" i="4"/>
  <c r="H8" i="4"/>
  <c r="H11" i="4"/>
  <c r="I11" i="4" s="1"/>
  <c r="H6" i="4"/>
  <c r="I7" i="4"/>
  <c r="H9" i="4"/>
  <c r="H13" i="4"/>
  <c r="H34" i="4"/>
  <c r="H27" i="4"/>
  <c r="H24" i="4"/>
  <c r="H14" i="4"/>
  <c r="I14" i="4" s="1"/>
  <c r="H17" i="4"/>
  <c r="H12" i="4"/>
  <c r="I12" i="4" s="1"/>
  <c r="H32" i="4"/>
  <c r="H33" i="4"/>
  <c r="I33" i="4" s="1"/>
  <c r="H28" i="4"/>
  <c r="H23" i="4"/>
  <c r="H19" i="4"/>
  <c r="H16" i="4"/>
  <c r="I16" i="4" s="1"/>
  <c r="H22" i="4"/>
  <c r="G8" i="4"/>
  <c r="G15" i="4"/>
  <c r="G6" i="4"/>
  <c r="G7" i="4"/>
  <c r="G5" i="4"/>
  <c r="I15" i="4"/>
  <c r="G18" i="4"/>
  <c r="G13" i="4"/>
  <c r="G10" i="4"/>
  <c r="G12" i="4"/>
  <c r="G34" i="4"/>
  <c r="I34" i="4" s="1"/>
  <c r="G29" i="4"/>
  <c r="G17" i="4"/>
  <c r="G25" i="4"/>
  <c r="I25" i="4" s="1"/>
  <c r="G27" i="4"/>
  <c r="G26" i="4"/>
  <c r="I26" i="4" s="1"/>
  <c r="G20" i="4"/>
  <c r="I20" i="4" s="1"/>
  <c r="G14" i="4"/>
  <c r="G9" i="4"/>
  <c r="G23" i="4"/>
  <c r="G24" i="4"/>
  <c r="I24" i="4" s="1"/>
  <c r="G30" i="4"/>
  <c r="G28" i="4"/>
  <c r="I28" i="4" s="1"/>
  <c r="G19" i="4"/>
  <c r="G32" i="4"/>
  <c r="I32" i="4" s="1"/>
  <c r="G16" i="4"/>
  <c r="I37" i="4"/>
  <c r="I23" i="4"/>
  <c r="I27" i="4"/>
  <c r="I21" i="4"/>
  <c r="I36" i="4"/>
  <c r="I9" i="4"/>
  <c r="I35" i="4"/>
  <c r="I29" i="4"/>
  <c r="I31" i="4"/>
  <c r="I22" i="4"/>
  <c r="I30" i="4"/>
  <c r="I13" i="4"/>
  <c r="I10" i="4" l="1"/>
  <c r="I19" i="4"/>
  <c r="I17" i="4"/>
  <c r="I6" i="4"/>
  <c r="I8" i="4"/>
  <c r="I18" i="4"/>
  <c r="I5" i="4"/>
  <c r="H7" i="3"/>
  <c r="H8" i="3"/>
  <c r="H16" i="3"/>
  <c r="H14" i="3"/>
  <c r="H13" i="3"/>
  <c r="I11" i="3"/>
  <c r="H11" i="3"/>
  <c r="I8" i="3"/>
  <c r="H5" i="3"/>
  <c r="I5" i="3" s="1"/>
  <c r="H9" i="3"/>
  <c r="H6" i="3"/>
  <c r="H19" i="3"/>
  <c r="G19" i="3"/>
  <c r="H20" i="3"/>
  <c r="H12" i="3"/>
  <c r="H10" i="3"/>
  <c r="H21" i="3"/>
  <c r="H24" i="3"/>
  <c r="I16" i="3"/>
  <c r="H23" i="3"/>
  <c r="H15" i="3"/>
  <c r="H22" i="3"/>
  <c r="H17" i="3"/>
  <c r="I13" i="3"/>
  <c r="H18" i="3"/>
  <c r="H25" i="3"/>
  <c r="H30" i="3"/>
  <c r="H28" i="3"/>
  <c r="H29" i="3"/>
  <c r="H32" i="3"/>
  <c r="I32" i="3" s="1"/>
  <c r="H31" i="3"/>
  <c r="H27" i="3"/>
  <c r="H26" i="3"/>
  <c r="G20" i="3"/>
  <c r="G8" i="3"/>
  <c r="G7" i="3"/>
  <c r="G5" i="3"/>
  <c r="G9" i="3"/>
  <c r="G6" i="3"/>
  <c r="G24" i="3"/>
  <c r="G23" i="3"/>
  <c r="G12" i="3"/>
  <c r="G22" i="3"/>
  <c r="G16" i="3"/>
  <c r="G18" i="3"/>
  <c r="G31" i="3"/>
  <c r="G33" i="3"/>
  <c r="G30" i="3"/>
  <c r="G32" i="3"/>
  <c r="G27" i="3"/>
  <c r="I27" i="3"/>
  <c r="G29" i="3"/>
  <c r="G21" i="3"/>
  <c r="I21" i="3" s="1"/>
  <c r="G26" i="3"/>
  <c r="I38" i="3"/>
  <c r="I25" i="3"/>
  <c r="I30" i="3"/>
  <c r="I9" i="3"/>
  <c r="I37" i="3"/>
  <c r="I6" i="3"/>
  <c r="I28" i="3"/>
  <c r="I29" i="3"/>
  <c r="I36" i="3"/>
  <c r="I19" i="3"/>
  <c r="I20" i="3"/>
  <c r="I7" i="3"/>
  <c r="I31" i="3"/>
  <c r="I23" i="3"/>
  <c r="I15" i="3"/>
  <c r="I35" i="3"/>
  <c r="I14" i="3"/>
  <c r="I33" i="3"/>
  <c r="I12" i="3"/>
  <c r="I22" i="3"/>
  <c r="I34" i="3"/>
  <c r="I17" i="3"/>
  <c r="I10" i="3"/>
  <c r="I18" i="3"/>
  <c r="I26" i="3"/>
  <c r="I24" i="3" l="1"/>
  <c r="H23" i="2"/>
  <c r="H20" i="2"/>
  <c r="H5" i="2"/>
  <c r="H19" i="2"/>
  <c r="H14" i="2"/>
  <c r="H9" i="2"/>
  <c r="H10" i="2"/>
  <c r="I10" i="2" s="1"/>
  <c r="H6" i="2"/>
  <c r="H15" i="2"/>
  <c r="H12" i="2"/>
  <c r="H7" i="2"/>
  <c r="H16" i="2"/>
  <c r="H8" i="2"/>
  <c r="H22" i="2"/>
  <c r="H24" i="2"/>
  <c r="H25" i="2"/>
  <c r="H26" i="2"/>
  <c r="H17" i="2"/>
  <c r="H11" i="2"/>
  <c r="I20" i="2"/>
  <c r="H13" i="2"/>
  <c r="H18" i="2"/>
  <c r="H29" i="2"/>
  <c r="H34" i="2"/>
  <c r="H35" i="2"/>
  <c r="H36" i="2"/>
  <c r="H30" i="2"/>
  <c r="H27" i="2"/>
  <c r="H31" i="2"/>
  <c r="H28" i="2"/>
  <c r="H21" i="2"/>
  <c r="G9" i="2"/>
  <c r="G8" i="2"/>
  <c r="I8" i="2" s="1"/>
  <c r="G10" i="2"/>
  <c r="G6" i="2"/>
  <c r="I6" i="2" s="1"/>
  <c r="G36" i="2"/>
  <c r="G34" i="2"/>
  <c r="G11" i="2"/>
  <c r="G5" i="2"/>
  <c r="I5" i="2" s="1"/>
  <c r="G12" i="2"/>
  <c r="G7" i="2"/>
  <c r="G13" i="2"/>
  <c r="G19" i="2"/>
  <c r="G25" i="2"/>
  <c r="G26" i="2"/>
  <c r="G21" i="2"/>
  <c r="I21" i="2" s="1"/>
  <c r="G14" i="2"/>
  <c r="I14" i="2" s="1"/>
  <c r="G20" i="2"/>
  <c r="G16" i="2"/>
  <c r="I16" i="2" s="1"/>
  <c r="G22" i="2"/>
  <c r="G18" i="2"/>
  <c r="G15" i="2"/>
  <c r="G17" i="2"/>
  <c r="I17" i="2" s="1"/>
  <c r="G30" i="2"/>
  <c r="G31" i="2"/>
  <c r="G35" i="2"/>
  <c r="I35" i="2" s="1"/>
  <c r="I36" i="2"/>
  <c r="G28" i="2"/>
  <c r="G29" i="2"/>
  <c r="G27" i="2"/>
  <c r="G23" i="2"/>
  <c r="I23" i="2" s="1"/>
  <c r="G24" i="2"/>
  <c r="I32" i="2"/>
  <c r="I33" i="2"/>
  <c r="I37" i="2"/>
  <c r="I34" i="2"/>
  <c r="I12" i="2"/>
  <c r="I22" i="2"/>
  <c r="I27" i="2"/>
  <c r="I13" i="2"/>
  <c r="I18" i="2"/>
  <c r="I7" i="2" l="1"/>
  <c r="I15" i="2"/>
  <c r="I30" i="2"/>
  <c r="I29" i="2"/>
  <c r="I26" i="2"/>
  <c r="I24" i="2"/>
  <c r="I9" i="2"/>
  <c r="I19" i="2"/>
  <c r="I25" i="2"/>
  <c r="I11" i="2"/>
  <c r="I31" i="2"/>
  <c r="I28" i="2"/>
  <c r="G5" i="1"/>
  <c r="G13" i="1"/>
  <c r="G10" i="1"/>
  <c r="G6" i="1"/>
  <c r="G11" i="1"/>
  <c r="G7" i="1"/>
  <c r="G14" i="1"/>
  <c r="G9" i="1"/>
  <c r="G18" i="1"/>
  <c r="H8" i="1"/>
  <c r="H7" i="1"/>
  <c r="H9" i="1"/>
  <c r="H6" i="1"/>
  <c r="H5" i="1"/>
  <c r="H16" i="1"/>
  <c r="H11" i="1"/>
  <c r="H17" i="1"/>
  <c r="H13" i="1"/>
  <c r="H10" i="1"/>
  <c r="H20" i="1"/>
  <c r="H21" i="1"/>
  <c r="H23" i="1"/>
  <c r="H15" i="1"/>
  <c r="H19" i="1"/>
  <c r="H32" i="1"/>
  <c r="H27" i="1"/>
  <c r="H24" i="1"/>
  <c r="H28" i="1"/>
  <c r="H26" i="1"/>
  <c r="H12" i="1"/>
  <c r="G8" i="1"/>
  <c r="G15" i="1"/>
  <c r="G12" i="1"/>
  <c r="G27" i="1"/>
  <c r="G22" i="1"/>
  <c r="G17" i="1"/>
  <c r="G28" i="1"/>
  <c r="I28" i="1" s="1"/>
  <c r="G16" i="1"/>
  <c r="G23" i="1"/>
  <c r="G30" i="1"/>
  <c r="G29" i="1"/>
  <c r="G26" i="1"/>
  <c r="G19" i="1"/>
  <c r="G24" i="1"/>
  <c r="G21" i="1"/>
  <c r="I34" i="1"/>
  <c r="I14" i="1"/>
  <c r="I31" i="1"/>
  <c r="I5" i="1"/>
  <c r="I8" i="1"/>
  <c r="I18" i="1" l="1"/>
  <c r="I6" i="1"/>
  <c r="I10" i="1"/>
  <c r="I27" i="1"/>
  <c r="I19" i="1"/>
  <c r="I20" i="1"/>
  <c r="I15" i="1"/>
  <c r="I25" i="1"/>
  <c r="I16" i="1"/>
  <c r="I7" i="1"/>
  <c r="I21" i="1"/>
  <c r="I22" i="1"/>
  <c r="I32" i="1"/>
  <c r="I30" i="1"/>
  <c r="I29" i="1"/>
  <c r="I23" i="1"/>
  <c r="I13" i="1"/>
  <c r="I12" i="1"/>
  <c r="I9" i="1"/>
  <c r="I17" i="1"/>
  <c r="I11" i="1"/>
  <c r="I24" i="1"/>
  <c r="I26" i="1"/>
  <c r="I33" i="1"/>
</calcChain>
</file>

<file path=xl/sharedStrings.xml><?xml version="1.0" encoding="utf-8"?>
<sst xmlns="http://schemas.openxmlformats.org/spreadsheetml/2006/main" count="518" uniqueCount="211">
  <si>
    <t>Участник</t>
  </si>
  <si>
    <t>Квала</t>
  </si>
  <si>
    <t>Очки</t>
  </si>
  <si>
    <t>Сумма</t>
  </si>
  <si>
    <t>довес</t>
  </si>
  <si>
    <t>-</t>
  </si>
  <si>
    <t>Онащук Максим</t>
  </si>
  <si>
    <t>Лантушенко Игорь</t>
  </si>
  <si>
    <t>Буркацкий Саша</t>
  </si>
  <si>
    <t>Джемула Сергей</t>
  </si>
  <si>
    <t>Мельник Денис</t>
  </si>
  <si>
    <t>Майбродский Миша</t>
  </si>
  <si>
    <t>Рожков Олег</t>
  </si>
  <si>
    <t>Белецкий Евгений</t>
  </si>
  <si>
    <t>Киктенко Юра</t>
  </si>
  <si>
    <t>Седнин Роман</t>
  </si>
  <si>
    <t>Волошин Алексей</t>
  </si>
  <si>
    <t>Пит</t>
  </si>
  <si>
    <t>Крыж Мирослав</t>
  </si>
  <si>
    <t>Хлопонин Андрей</t>
  </si>
  <si>
    <t>Дарий Игорь</t>
  </si>
  <si>
    <t>Пархомчук Саша</t>
  </si>
  <si>
    <t>Клименко Дима</t>
  </si>
  <si>
    <t>Шутка Виталий</t>
  </si>
  <si>
    <t>Веселов Сергей</t>
  </si>
  <si>
    <t>Веселов Антон</t>
  </si>
  <si>
    <t>Булавинов Андрей</t>
  </si>
  <si>
    <t>Мандзюк Артур</t>
  </si>
  <si>
    <t>Григорьев Гена</t>
  </si>
  <si>
    <t>Синани Влад</t>
  </si>
  <si>
    <t>Свидзинский Роман</t>
  </si>
  <si>
    <t>Линнык Владимир</t>
  </si>
  <si>
    <t>Гриць</t>
  </si>
  <si>
    <t>Весельский Александр</t>
  </si>
  <si>
    <t>Лайт Лига 21.06.2016 (конфигурация 10 R)</t>
  </si>
  <si>
    <t>Лайт Лига 28.06.2016 (конфигурация 7)</t>
  </si>
  <si>
    <t>Яценко Володимир</t>
  </si>
  <si>
    <t>Лабунский Алексей</t>
  </si>
  <si>
    <t>Мурыгин Сергей</t>
  </si>
  <si>
    <t>Сычевский Сергей</t>
  </si>
  <si>
    <t>Дубас Владислав</t>
  </si>
  <si>
    <t>Закалюк Евгений</t>
  </si>
  <si>
    <t>Кошарук Женя</t>
  </si>
  <si>
    <t>Макаров Михаил</t>
  </si>
  <si>
    <t>Буркацкий Александр</t>
  </si>
  <si>
    <t xml:space="preserve">Шапран Вячеслав </t>
  </si>
  <si>
    <t>Шапран Вадим</t>
  </si>
  <si>
    <t>Трофименко Ваня</t>
  </si>
  <si>
    <t>Лихошерст Алексей</t>
  </si>
  <si>
    <t>Ищук Сергей</t>
  </si>
  <si>
    <t>Кириченко Сергей</t>
  </si>
  <si>
    <t>Пархомчук Александр</t>
  </si>
  <si>
    <t>Кузнецов Слава</t>
  </si>
  <si>
    <t>Костюк Максим</t>
  </si>
  <si>
    <t>Клименко Дмитрий</t>
  </si>
  <si>
    <t>Плакидюк Виталик</t>
  </si>
  <si>
    <t xml:space="preserve">Свидзинский Марьян </t>
  </si>
  <si>
    <t>Якубовский Саша</t>
  </si>
  <si>
    <t>Сомов Александр</t>
  </si>
  <si>
    <t>Доценко Анатолий</t>
  </si>
  <si>
    <t>Илона</t>
  </si>
  <si>
    <t>Шкребтий Вова</t>
  </si>
  <si>
    <t>Фаль Александр</t>
  </si>
  <si>
    <t>Места</t>
  </si>
  <si>
    <t>Муляр Андрей / Mular Andrew</t>
  </si>
  <si>
    <t>Белозор Виталий / Belozor Vitaliy</t>
  </si>
  <si>
    <t>Билецкий Женя / Biletskyi Ievgen</t>
  </si>
  <si>
    <t>Буркацкий Саша / Burkatskiy Alexander</t>
  </si>
  <si>
    <t>Гободи Курош / Gobadi Kourosh</t>
  </si>
  <si>
    <t>Дарий Игорь / Dariy Igor</t>
  </si>
  <si>
    <t>Ищук Сергей / Ischuk Sergey</t>
  </si>
  <si>
    <t>Кириченко Сергей / Kirichenko Sergey</t>
  </si>
  <si>
    <t>Кошарук Евгений / Kosharuk Eugene</t>
  </si>
  <si>
    <t>Лантушенко Игорь / Lantushenko Ihor</t>
  </si>
  <si>
    <t>Линнык Володя / Linnyk Vlad</t>
  </si>
  <si>
    <t>Макаров Михаил / Mezhievskiy Sergey</t>
  </si>
  <si>
    <t>Межиевский Сергей / Mezhievskiy Sergey</t>
  </si>
  <si>
    <t>Пархомчук Саша / Parhomchuk Alexander</t>
  </si>
  <si>
    <t>Пилатов Сергей / Pilatov Sergii</t>
  </si>
  <si>
    <t>Плакидюк Виталий / Plakydiuk Vitalii</t>
  </si>
  <si>
    <t>Трофименко Иван / Trofimenko Ivan</t>
  </si>
  <si>
    <t>Францишко Андрей / Frantsishko Andrey</t>
  </si>
  <si>
    <t>Хлопонин Андрей / Khloponin Andrew</t>
  </si>
  <si>
    <t>Лабинский Николай / Labinskiy Nikolay</t>
  </si>
  <si>
    <t>Дубас Влад / Dubas Vladislav</t>
  </si>
  <si>
    <t>Губрий Юрий / Gubrii Iurii</t>
  </si>
  <si>
    <t>Кусайко Влад / Kusayko Vladyslav</t>
  </si>
  <si>
    <t>Мельник Денис / Melnik Denis</t>
  </si>
  <si>
    <t>Морозов Андрей / Morozov Andrey</t>
  </si>
  <si>
    <t>Лайт Лига 28.06.2016 (конфигурация 9)</t>
  </si>
  <si>
    <t>Лайт Лига 12.07.2016 (конфигурация 6R)</t>
  </si>
  <si>
    <t>Ильяшенко Владимир</t>
  </si>
  <si>
    <t>Черныш Саша</t>
  </si>
  <si>
    <t>Халецкий Евгений</t>
  </si>
  <si>
    <t>Зуев Иван</t>
  </si>
  <si>
    <t>Чернышов Игорь</t>
  </si>
  <si>
    <t>Яремич Даниил</t>
  </si>
  <si>
    <t>Джемула Сергей / Dzhemula Sergey</t>
  </si>
  <si>
    <t>Киктенко Юра / Kiktenko Yuri</t>
  </si>
  <si>
    <t>Доценко Анатолий / Dotsenko Anatolii</t>
  </si>
  <si>
    <t>Джелали Антон / Dzhelali Anton</t>
  </si>
  <si>
    <t>Костюк Максим / Kostiuk Maksim</t>
  </si>
  <si>
    <t>Строна Илона / Strona Ilona</t>
  </si>
  <si>
    <t>Воротиленко Саша / Vorotilenko Alexandr</t>
  </si>
  <si>
    <t>Котелинец Александр / Kotelinets Alexandr</t>
  </si>
  <si>
    <t>Декало Стас / Dekalo Stas</t>
  </si>
  <si>
    <t>Евстратьев Максим / Evstratiev Maksim</t>
  </si>
  <si>
    <t>Царенко Андрей / Tsarenko Andrey</t>
  </si>
  <si>
    <t>Лайт Лига 12.07.2016 (конфигурация 5R)</t>
  </si>
  <si>
    <t>Лихошерст Алексей / Lychosherst Aleksey</t>
  </si>
  <si>
    <t>Фортуна Таня / Fortuna Tanya</t>
  </si>
  <si>
    <t>Крыж Мирослав / Kryzh Myroslav</t>
  </si>
  <si>
    <t>Звягин Горигорий / Zvyagin Grisha</t>
  </si>
  <si>
    <t>Прокудин Станислав / Prokudin Stanislav</t>
  </si>
  <si>
    <t>Григорьев Гена  / Grigoriev Gennadiy</t>
  </si>
  <si>
    <t>Костюк Максим / Kostuk Maxim</t>
  </si>
  <si>
    <t>Майбродский Миша / Maibrodsky Misha</t>
  </si>
  <si>
    <t>Мандзюк Артур / Mandzuk Artur</t>
  </si>
  <si>
    <t>Мурыгин Сергей / Muryhin Serhii</t>
  </si>
  <si>
    <t>Рожков Олег / Rozhkov Oleg</t>
  </si>
  <si>
    <t>Сычевский Сергей / Sychevskiy Sergey</t>
  </si>
  <si>
    <t>Яремич Даниил / Yaremych Daniil</t>
  </si>
  <si>
    <t>Булавинов Андрей / Bulavinov Andrii</t>
  </si>
  <si>
    <t>Коруз Вадим / Koruz Vadim</t>
  </si>
  <si>
    <t>Закалюк Евгений / Zakaliuk Evgeniy</t>
  </si>
  <si>
    <t>Лайт Лига 26.07.2016 (конфигурация 3R)</t>
  </si>
  <si>
    <t>Потапов Сергей</t>
  </si>
  <si>
    <t>Грабовский Валентин</t>
  </si>
  <si>
    <t>Негрыйко Валера</t>
  </si>
  <si>
    <t>Данилов Дмитрий</t>
  </si>
  <si>
    <t>Лантушенко Игорь Lantushenko Ihor</t>
  </si>
  <si>
    <t>Хлопонин Андрей/ Khloponin Andrew</t>
  </si>
  <si>
    <t>Дарий Игорь/ Dariy Igor</t>
  </si>
  <si>
    <t>Строна Илона</t>
  </si>
  <si>
    <t>Муляр Андрей</t>
  </si>
  <si>
    <t>Сидаш Сергей</t>
  </si>
  <si>
    <t>Майбродский Михаил</t>
  </si>
  <si>
    <t>Клец Вадим</t>
  </si>
  <si>
    <t>Гаврик Андрей</t>
  </si>
  <si>
    <t>Прокудин Станислав</t>
  </si>
  <si>
    <t>Рожков Олег/ Rozhkov Oleg</t>
  </si>
  <si>
    <t>Фортуна Таня/ Fortuna Tanya</t>
  </si>
  <si>
    <t>Лайт Лига 02.08.2016 (конфигурация 2)</t>
  </si>
  <si>
    <t>Веселов Антон / Veselov Anton</t>
  </si>
  <si>
    <t>Додчук Максим</t>
  </si>
  <si>
    <t>Шумарин Андрей</t>
  </si>
  <si>
    <t>Комаров</t>
  </si>
  <si>
    <t>Макаров Миша / Makarov Mike</t>
  </si>
  <si>
    <t>Войт Владимир</t>
  </si>
  <si>
    <t>Котелинец Павел</t>
  </si>
  <si>
    <t>Пилипчук Василий</t>
  </si>
  <si>
    <t>Дорофий Николай</t>
  </si>
  <si>
    <t>Декало Станислав / Dekalo Stanislav</t>
  </si>
  <si>
    <t>Зуй Кирилл</t>
  </si>
  <si>
    <t>Корчагин Андрей / korchagin Andriy</t>
  </si>
  <si>
    <t>Левченко Вадим / Levchenko Vadim</t>
  </si>
  <si>
    <t>Потапенко Вячеслав / Potapenko Vyacheslav</t>
  </si>
  <si>
    <t>Ключник Александр / Kluchnik Alexandr</t>
  </si>
  <si>
    <t>Саенко Дима / Sayenko Dima</t>
  </si>
  <si>
    <t>Мельник-Саевич / Melnik-Sayevich Vadim</t>
  </si>
  <si>
    <t>Потапенко Вячеслав</t>
  </si>
  <si>
    <t>Мифтахутдинов Рафаэль</t>
  </si>
  <si>
    <t>Калашников Глеб</t>
  </si>
  <si>
    <t>Титов Влад</t>
  </si>
  <si>
    <t>Горбоконь Андрей</t>
  </si>
  <si>
    <t>Balaz Filip</t>
  </si>
  <si>
    <t>Давтян Карен</t>
  </si>
  <si>
    <t>Фортуна Таня</t>
  </si>
  <si>
    <t>Шапран Вячеслав</t>
  </si>
  <si>
    <t>Ревчук Леша</t>
  </si>
  <si>
    <t>Морозов Андрей</t>
  </si>
  <si>
    <t>Загирський Антон</t>
  </si>
  <si>
    <t>Фортуна</t>
  </si>
  <si>
    <t>Кардаш Виталий</t>
  </si>
  <si>
    <t>Потапенко Владислав</t>
  </si>
  <si>
    <t>Межиевский Сергей</t>
  </si>
  <si>
    <t>Калинка Виталий</t>
  </si>
  <si>
    <t>Лайт Лига 16.08.2016 (конфигурация 5)</t>
  </si>
  <si>
    <t>Кулинич Игорь</t>
  </si>
  <si>
    <t>Коруз Вадим</t>
  </si>
  <si>
    <t>Линник Владимир</t>
  </si>
  <si>
    <t>Зосим Вика</t>
  </si>
  <si>
    <t>Остапец Сергей</t>
  </si>
  <si>
    <t>Котилинец Саша</t>
  </si>
  <si>
    <t>Ревчук Алексей</t>
  </si>
  <si>
    <t>Ревчук Александр</t>
  </si>
  <si>
    <t>Сапижак Андрей</t>
  </si>
  <si>
    <t>Лайт Лига 30.08.2016 (конфигурация 5R)</t>
  </si>
  <si>
    <t>Чередниченко Дмитрий</t>
  </si>
  <si>
    <t>Фролов Ярослав</t>
  </si>
  <si>
    <t>Кузюк Роман</t>
  </si>
  <si>
    <t>Наум</t>
  </si>
  <si>
    <t>Петушков Гена</t>
  </si>
  <si>
    <t>Яременко Юрий</t>
  </si>
  <si>
    <t>Луцив Александр</t>
  </si>
  <si>
    <t>Купцов Павел</t>
  </si>
  <si>
    <t>Трофименко Иван</t>
  </si>
  <si>
    <t>Михайлик Михаил</t>
  </si>
  <si>
    <t>Фарбун Женя</t>
  </si>
  <si>
    <t>Терещенко Женя</t>
  </si>
  <si>
    <t>Фалько Костя</t>
  </si>
  <si>
    <t>Клименко Богодар</t>
  </si>
  <si>
    <t>Клименко Марьян</t>
  </si>
  <si>
    <t>Закалюк Женя</t>
  </si>
  <si>
    <t>Левковский Дмитрий</t>
  </si>
  <si>
    <t>Корчагин Андрей</t>
  </si>
  <si>
    <t>Пикулин Паша</t>
  </si>
  <si>
    <t>Семенов Константин</t>
  </si>
  <si>
    <t>Пасечник Антон</t>
  </si>
  <si>
    <t>Гайдук Алексей</t>
  </si>
  <si>
    <t>Остренко  Стас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</si>
</sst>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6"/>
      <name val="Arial Cyr"/>
      <charset val="204"/>
    </font>
    <font>
      <b/>
      <sz val="12"/>
      <name val="Arial Cyr"/>
      <family val="2"/>
      <charset val="204"/>
    </font>
    <font>
      <b/>
      <sz val="12"/>
      <name val="Arial Cyr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4"/>
      <name val="Arial Cyr"/>
      <family val="2"/>
      <charset val="204"/>
    </font>
    <font>
      <sz val="14"/>
      <color theme="1"/>
      <name val="Calibri"/>
      <family val="2"/>
      <scheme val="minor"/>
    </font>
    <font>
      <b/>
      <sz val="14"/>
      <name val="Arial Cyr"/>
      <family val="2"/>
      <charset val="204"/>
    </font>
    <font>
      <sz val="14"/>
      <name val="Arial Cyr"/>
      <charset val="204"/>
    </font>
    <font>
      <sz val="14"/>
      <color theme="1"/>
      <name val="Arial"/>
      <family val="2"/>
      <charset val="204"/>
    </font>
    <font>
      <sz val="14"/>
      <color theme="1"/>
      <name val="Arial Cyr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05">
    <xf numFmtId="0" fontId="0" fillId="0" borderId="0" xfId="0"/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4" fillId="0" borderId="19" xfId="0" applyFont="1" applyBorder="1"/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5" fillId="0" borderId="19" xfId="0" applyFont="1" applyBorder="1"/>
    <xf numFmtId="0" fontId="5" fillId="0" borderId="19" xfId="0" applyFont="1" applyFill="1" applyBorder="1"/>
    <xf numFmtId="0" fontId="2" fillId="0" borderId="23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9" xfId="0" applyFont="1" applyFill="1" applyBorder="1"/>
    <xf numFmtId="0" fontId="5" fillId="0" borderId="24" xfId="0" applyFont="1" applyFill="1" applyBorder="1"/>
    <xf numFmtId="0" fontId="2" fillId="0" borderId="28" xfId="0" applyFont="1" applyBorder="1" applyAlignment="1">
      <alignment horizontal="center"/>
    </xf>
    <xf numFmtId="0" fontId="5" fillId="0" borderId="29" xfId="0" applyFont="1" applyFill="1" applyBorder="1"/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5" fillId="0" borderId="2" xfId="0" applyFont="1" applyBorder="1"/>
    <xf numFmtId="0" fontId="0" fillId="0" borderId="21" xfId="0" applyBorder="1"/>
    <xf numFmtId="0" fontId="6" fillId="0" borderId="21" xfId="0" applyFont="1" applyBorder="1"/>
    <xf numFmtId="0" fontId="6" fillId="0" borderId="21" xfId="0" applyFont="1" applyFill="1" applyBorder="1"/>
    <xf numFmtId="0" fontId="6" fillId="0" borderId="21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9" fillId="0" borderId="31" xfId="0" applyFont="1" applyBorder="1"/>
    <xf numFmtId="0" fontId="4" fillId="0" borderId="18" xfId="0" applyFont="1" applyBorder="1"/>
    <xf numFmtId="0" fontId="5" fillId="0" borderId="18" xfId="0" applyFont="1" applyFill="1" applyBorder="1"/>
    <xf numFmtId="0" fontId="11" fillId="0" borderId="18" xfId="0" applyFont="1" applyFill="1" applyBorder="1"/>
    <xf numFmtId="0" fontId="5" fillId="0" borderId="33" xfId="0" applyFont="1" applyBorder="1"/>
    <xf numFmtId="0" fontId="5" fillId="0" borderId="18" xfId="0" applyFont="1" applyBorder="1"/>
    <xf numFmtId="0" fontId="4" fillId="0" borderId="18" xfId="0" applyFont="1" applyFill="1" applyBorder="1"/>
    <xf numFmtId="0" fontId="2" fillId="0" borderId="35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7" fillId="0" borderId="31" xfId="0" applyFont="1" applyBorder="1"/>
    <xf numFmtId="0" fontId="6" fillId="0" borderId="31" xfId="0" applyFont="1" applyBorder="1"/>
    <xf numFmtId="0" fontId="10" fillId="0" borderId="1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7" fillId="0" borderId="18" xfId="0" applyFont="1" applyBorder="1"/>
    <xf numFmtId="0" fontId="7" fillId="0" borderId="23" xfId="0" applyFont="1" applyBorder="1"/>
    <xf numFmtId="0" fontId="4" fillId="0" borderId="41" xfId="0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4" fillId="0" borderId="33" xfId="0" applyFont="1" applyBorder="1"/>
    <xf numFmtId="0" fontId="5" fillId="0" borderId="23" xfId="0" applyFont="1" applyFill="1" applyBorder="1"/>
    <xf numFmtId="0" fontId="4" fillId="0" borderId="40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11" fillId="0" borderId="33" xfId="0" applyFont="1" applyFill="1" applyBorder="1"/>
    <xf numFmtId="0" fontId="8" fillId="0" borderId="18" xfId="0" applyFont="1" applyBorder="1"/>
    <xf numFmtId="0" fontId="11" fillId="0" borderId="18" xfId="0" applyFont="1" applyBorder="1"/>
    <xf numFmtId="0" fontId="8" fillId="0" borderId="33" xfId="0" applyFont="1" applyBorder="1"/>
    <xf numFmtId="0" fontId="8" fillId="0" borderId="18" xfId="0" applyFont="1" applyFill="1" applyBorder="1"/>
    <xf numFmtId="0" fontId="11" fillId="0" borderId="23" xfId="0" applyFont="1" applyFill="1" applyBorder="1"/>
    <xf numFmtId="0" fontId="0" fillId="0" borderId="21" xfId="0" applyBorder="1" applyAlignment="1">
      <alignment horizontal="center"/>
    </xf>
    <xf numFmtId="0" fontId="11" fillId="0" borderId="31" xfId="0" applyFont="1" applyFill="1" applyBorder="1"/>
    <xf numFmtId="0" fontId="11" fillId="0" borderId="18" xfId="0" applyFont="1" applyFill="1" applyBorder="1" applyAlignment="1">
      <alignment horizontal="left"/>
    </xf>
    <xf numFmtId="0" fontId="11" fillId="0" borderId="21" xfId="0" applyFont="1" applyFill="1" applyBorder="1"/>
    <xf numFmtId="0" fontId="8" fillId="0" borderId="21" xfId="0" applyFont="1" applyBorder="1"/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/>
    </xf>
    <xf numFmtId="0" fontId="12" fillId="0" borderId="18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11" fillId="0" borderId="19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1" fillId="0" borderId="19" xfId="0" applyNumberFormat="1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2" fillId="0" borderId="18" xfId="0" applyFont="1" applyBorder="1"/>
    <xf numFmtId="0" fontId="11" fillId="0" borderId="21" xfId="0" applyFont="1" applyBorder="1"/>
    <xf numFmtId="0" fontId="13" fillId="0" borderId="45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1" fillId="0" borderId="33" xfId="0" applyFont="1" applyBorder="1"/>
    <xf numFmtId="0" fontId="11" fillId="0" borderId="33" xfId="0" applyFont="1" applyFill="1" applyBorder="1" applyAlignment="1">
      <alignment horizontal="left"/>
    </xf>
    <xf numFmtId="0" fontId="8" fillId="0" borderId="23" xfId="0" applyFont="1" applyBorder="1"/>
    <xf numFmtId="0" fontId="8" fillId="0" borderId="31" xfId="0" applyFont="1" applyBorder="1"/>
    <xf numFmtId="0" fontId="11" fillId="0" borderId="40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2" fillId="0" borderId="33" xfId="0" applyFont="1" applyBorder="1"/>
    <xf numFmtId="0" fontId="11" fillId="0" borderId="31" xfId="0" applyNumberFormat="1" applyFont="1" applyBorder="1" applyAlignment="1">
      <alignment horizontal="center"/>
    </xf>
    <xf numFmtId="0" fontId="12" fillId="0" borderId="23" xfId="0" applyFont="1" applyBorder="1"/>
    <xf numFmtId="0" fontId="11" fillId="0" borderId="28" xfId="0" applyFont="1" applyFill="1" applyBorder="1"/>
    <xf numFmtId="0" fontId="12" fillId="0" borderId="19" xfId="0" applyFont="1" applyBorder="1"/>
    <xf numFmtId="0" fontId="14" fillId="0" borderId="18" xfId="0" applyFont="1" applyBorder="1" applyAlignment="1">
      <alignment horizontal="center"/>
    </xf>
    <xf numFmtId="0" fontId="15" fillId="0" borderId="18" xfId="0" applyFont="1" applyBorder="1"/>
    <xf numFmtId="0" fontId="15" fillId="0" borderId="19" xfId="0" applyFont="1" applyBorder="1" applyAlignment="1">
      <alignment horizontal="center"/>
    </xf>
    <xf numFmtId="0" fontId="12" fillId="0" borderId="0" xfId="0" applyFont="1"/>
    <xf numFmtId="0" fontId="16" fillId="0" borderId="0" xfId="0" applyFont="1"/>
    <xf numFmtId="0" fontId="15" fillId="0" borderId="18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3" fillId="0" borderId="5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11" fillId="0" borderId="14" xfId="0" applyFont="1" applyFill="1" applyBorder="1" applyAlignment="1">
      <alignment horizontal="left"/>
    </xf>
    <xf numFmtId="0" fontId="11" fillId="0" borderId="2" xfId="0" applyFont="1" applyBorder="1" applyAlignment="1">
      <alignment horizontal="center"/>
    </xf>
    <xf numFmtId="0" fontId="11" fillId="0" borderId="51" xfId="0" applyFont="1" applyBorder="1" applyAlignment="1">
      <alignment horizontal="center"/>
    </xf>
    <xf numFmtId="0" fontId="11" fillId="0" borderId="52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1" fillId="0" borderId="54" xfId="0" applyFont="1" applyBorder="1" applyAlignment="1">
      <alignment horizontal="center"/>
    </xf>
    <xf numFmtId="0" fontId="12" fillId="0" borderId="24" xfId="0" applyFont="1" applyBorder="1"/>
    <xf numFmtId="0" fontId="15" fillId="0" borderId="18" xfId="0" applyFont="1" applyFill="1" applyBorder="1"/>
    <xf numFmtId="0" fontId="12" fillId="0" borderId="33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4" xfId="0" applyNumberFormat="1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5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6" xfId="0" applyFont="1" applyBorder="1" applyAlignment="1">
      <alignment horizontal="center" shrinkToFit="1"/>
    </xf>
    <xf numFmtId="0" fontId="2" fillId="0" borderId="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8" fillId="0" borderId="18" xfId="0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15" fillId="0" borderId="18" xfId="0" applyFont="1" applyFill="1" applyBorder="1" applyAlignment="1">
      <alignment horizontal="left"/>
    </xf>
    <xf numFmtId="0" fontId="8" fillId="0" borderId="28" xfId="0" applyFont="1" applyBorder="1" applyAlignment="1">
      <alignment horizontal="left"/>
    </xf>
    <xf numFmtId="0" fontId="15" fillId="0" borderId="18" xfId="0" applyFont="1" applyBorder="1" applyAlignment="1">
      <alignment horizontal="left"/>
    </xf>
    <xf numFmtId="0" fontId="12" fillId="0" borderId="21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1" fillId="0" borderId="21" xfId="0" applyNumberFormat="1" applyFont="1" applyBorder="1" applyAlignment="1">
      <alignment horizontal="center"/>
    </xf>
    <xf numFmtId="0" fontId="12" fillId="0" borderId="20" xfId="0" applyFont="1" applyBorder="1"/>
    <xf numFmtId="0" fontId="2" fillId="0" borderId="55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/>
    </xf>
    <xf numFmtId="0" fontId="12" fillId="0" borderId="20" xfId="0" applyFont="1" applyBorder="1" applyAlignment="1">
      <alignment horizontal="left"/>
    </xf>
    <xf numFmtId="0" fontId="11" fillId="0" borderId="20" xfId="0" applyFont="1" applyFill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15" fillId="0" borderId="20" xfId="0" applyFont="1" applyFill="1" applyBorder="1" applyAlignment="1">
      <alignment horizontal="left"/>
    </xf>
    <xf numFmtId="0" fontId="11" fillId="0" borderId="20" xfId="0" applyFont="1" applyFill="1" applyBorder="1"/>
    <xf numFmtId="0" fontId="11" fillId="0" borderId="20" xfId="0" applyFont="1" applyBorder="1" applyAlignment="1">
      <alignment horizontal="left"/>
    </xf>
    <xf numFmtId="0" fontId="15" fillId="0" borderId="20" xfId="0" applyFont="1" applyBorder="1" applyAlignment="1">
      <alignment horizontal="left"/>
    </xf>
    <xf numFmtId="0" fontId="8" fillId="2" borderId="20" xfId="0" applyFont="1" applyFill="1" applyBorder="1" applyAlignment="1">
      <alignment horizontal="left"/>
    </xf>
    <xf numFmtId="0" fontId="11" fillId="2" borderId="21" xfId="0" applyFont="1" applyFill="1" applyBorder="1" applyAlignment="1">
      <alignment horizontal="center"/>
    </xf>
    <xf numFmtId="0" fontId="11" fillId="2" borderId="39" xfId="0" applyFont="1" applyFill="1" applyBorder="1" applyAlignment="1">
      <alignment horizontal="center"/>
    </xf>
    <xf numFmtId="0" fontId="12" fillId="2" borderId="25" xfId="0" applyFont="1" applyFill="1" applyBorder="1"/>
    <xf numFmtId="0" fontId="12" fillId="2" borderId="26" xfId="0" applyFont="1" applyFill="1" applyBorder="1" applyAlignment="1">
      <alignment horizontal="center"/>
    </xf>
    <xf numFmtId="0" fontId="11" fillId="2" borderId="26" xfId="0" applyFont="1" applyFill="1" applyBorder="1" applyAlignment="1">
      <alignment horizontal="center"/>
    </xf>
    <xf numFmtId="0" fontId="11" fillId="2" borderId="41" xfId="0" applyFont="1" applyFill="1" applyBorder="1" applyAlignment="1">
      <alignment horizontal="center"/>
    </xf>
    <xf numFmtId="0" fontId="12" fillId="0" borderId="15" xfId="0" applyFont="1" applyBorder="1" applyAlignment="1">
      <alignment horizontal="left"/>
    </xf>
    <xf numFmtId="0" fontId="13" fillId="0" borderId="1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="80" zoomScaleNormal="80" workbookViewId="0">
      <selection activeCell="B29" sqref="B29"/>
    </sheetView>
  </sheetViews>
  <sheetFormatPr defaultRowHeight="15" x14ac:dyDescent="0.25"/>
  <cols>
    <col min="1" max="1" width="5.140625" customWidth="1"/>
    <col min="2" max="2" width="27" customWidth="1"/>
    <col min="3" max="3" width="7.7109375" customWidth="1"/>
  </cols>
  <sheetData>
    <row r="1" spans="1:9" x14ac:dyDescent="0.25">
      <c r="A1" s="157" t="s">
        <v>34</v>
      </c>
      <c r="B1" s="157"/>
      <c r="C1" s="157"/>
      <c r="D1" s="157"/>
      <c r="E1" s="157"/>
      <c r="F1" s="157"/>
      <c r="G1" s="157"/>
      <c r="H1" s="157"/>
      <c r="I1" s="157"/>
    </row>
    <row r="2" spans="1:9" ht="15.75" thickBot="1" x14ac:dyDescent="0.3">
      <c r="A2" s="158"/>
      <c r="B2" s="158"/>
      <c r="C2" s="158"/>
      <c r="D2" s="158"/>
      <c r="E2" s="158"/>
      <c r="F2" s="158"/>
      <c r="G2" s="158"/>
      <c r="H2" s="158"/>
      <c r="I2" s="158"/>
    </row>
    <row r="3" spans="1:9" ht="16.5" thickBot="1" x14ac:dyDescent="0.3">
      <c r="A3" s="159"/>
      <c r="B3" s="161" t="s">
        <v>0</v>
      </c>
      <c r="C3" s="1" t="s">
        <v>1</v>
      </c>
      <c r="D3" s="163"/>
      <c r="E3" s="163"/>
      <c r="F3" s="164" t="s">
        <v>2</v>
      </c>
      <c r="G3" s="164"/>
      <c r="H3" s="164"/>
      <c r="I3" s="165" t="s">
        <v>3</v>
      </c>
    </row>
    <row r="4" spans="1:9" ht="16.5" thickBot="1" x14ac:dyDescent="0.3">
      <c r="A4" s="160"/>
      <c r="B4" s="162"/>
      <c r="C4" s="2" t="s">
        <v>4</v>
      </c>
      <c r="D4" s="3">
        <v>1</v>
      </c>
      <c r="E4" s="4">
        <v>2</v>
      </c>
      <c r="F4" s="5">
        <v>0</v>
      </c>
      <c r="G4" s="6">
        <v>1</v>
      </c>
      <c r="H4" s="7">
        <v>2</v>
      </c>
      <c r="I4" s="166"/>
    </row>
    <row r="5" spans="1:9" ht="15.75" x14ac:dyDescent="0.25">
      <c r="A5" s="8">
        <v>1</v>
      </c>
      <c r="B5" s="34" t="s">
        <v>23</v>
      </c>
      <c r="C5" s="9" t="s">
        <v>5</v>
      </c>
      <c r="D5" s="9">
        <v>1</v>
      </c>
      <c r="E5" s="10">
        <v>2</v>
      </c>
      <c r="F5" s="11"/>
      <c r="G5" s="10">
        <f>17+0.5</f>
        <v>17.5</v>
      </c>
      <c r="H5" s="10">
        <f>16+2.8+2.5</f>
        <v>21.3</v>
      </c>
      <c r="I5" s="12">
        <f t="shared" ref="I5:I34" si="0">SUM(F5:H5)</f>
        <v>38.799999999999997</v>
      </c>
    </row>
    <row r="6" spans="1:9" ht="15.75" x14ac:dyDescent="0.25">
      <c r="A6" s="13">
        <v>2</v>
      </c>
      <c r="B6" s="20" t="s">
        <v>8</v>
      </c>
      <c r="C6" s="15"/>
      <c r="D6" s="15">
        <v>5</v>
      </c>
      <c r="E6" s="16">
        <v>6</v>
      </c>
      <c r="F6" s="17">
        <v>2.5</v>
      </c>
      <c r="G6" s="16">
        <f>13+3.5+2</f>
        <v>18.5</v>
      </c>
      <c r="H6" s="16">
        <f>12.5+2.1+2</f>
        <v>16.600000000000001</v>
      </c>
      <c r="I6" s="18">
        <f t="shared" si="0"/>
        <v>37.6</v>
      </c>
    </row>
    <row r="7" spans="1:9" ht="15.75" x14ac:dyDescent="0.25">
      <c r="A7" s="13">
        <v>3</v>
      </c>
      <c r="B7" s="20" t="s">
        <v>6</v>
      </c>
      <c r="C7" s="15" t="s">
        <v>5</v>
      </c>
      <c r="D7" s="15">
        <v>4</v>
      </c>
      <c r="E7" s="16">
        <v>1</v>
      </c>
      <c r="F7" s="17">
        <v>1.5</v>
      </c>
      <c r="G7" s="16">
        <f>14+2.8</f>
        <v>16.8</v>
      </c>
      <c r="H7" s="16">
        <f>17+1</f>
        <v>18</v>
      </c>
      <c r="I7" s="18">
        <f t="shared" si="0"/>
        <v>36.299999999999997</v>
      </c>
    </row>
    <row r="8" spans="1:9" ht="15.75" x14ac:dyDescent="0.25">
      <c r="A8" s="13">
        <v>4</v>
      </c>
      <c r="B8" s="19" t="s">
        <v>19</v>
      </c>
      <c r="C8" s="15">
        <v>10</v>
      </c>
      <c r="D8" s="15">
        <v>2</v>
      </c>
      <c r="E8" s="16">
        <v>3</v>
      </c>
      <c r="F8" s="17"/>
      <c r="G8" s="16">
        <f>16</f>
        <v>16</v>
      </c>
      <c r="H8" s="16">
        <f>14+1.4+0.5</f>
        <v>15.9</v>
      </c>
      <c r="I8" s="18">
        <f t="shared" si="0"/>
        <v>31.9</v>
      </c>
    </row>
    <row r="9" spans="1:9" ht="15.75" x14ac:dyDescent="0.25">
      <c r="A9" s="13">
        <v>5</v>
      </c>
      <c r="B9" s="20" t="s">
        <v>22</v>
      </c>
      <c r="C9" s="15" t="s">
        <v>5</v>
      </c>
      <c r="D9" s="15">
        <v>6</v>
      </c>
      <c r="E9" s="16">
        <v>5</v>
      </c>
      <c r="F9" s="17">
        <v>2</v>
      </c>
      <c r="G9" s="16">
        <f>12.5+2.1</f>
        <v>14.6</v>
      </c>
      <c r="H9" s="16">
        <f>13+1.5</f>
        <v>14.5</v>
      </c>
      <c r="I9" s="18">
        <f t="shared" si="0"/>
        <v>31.1</v>
      </c>
    </row>
    <row r="10" spans="1:9" ht="15.75" x14ac:dyDescent="0.25">
      <c r="A10" s="13">
        <v>6</v>
      </c>
      <c r="B10" s="20" t="s">
        <v>24</v>
      </c>
      <c r="C10" s="15">
        <v>10</v>
      </c>
      <c r="D10" s="15">
        <v>1</v>
      </c>
      <c r="E10" s="16">
        <v>4</v>
      </c>
      <c r="F10" s="17"/>
      <c r="G10" s="16">
        <f>11.5+1.5</f>
        <v>13</v>
      </c>
      <c r="H10" s="16">
        <f>14+2.8</f>
        <v>16.8</v>
      </c>
      <c r="I10" s="18">
        <f t="shared" si="0"/>
        <v>29.8</v>
      </c>
    </row>
    <row r="11" spans="1:9" ht="15.75" x14ac:dyDescent="0.25">
      <c r="A11" s="13">
        <v>7</v>
      </c>
      <c r="B11" s="14" t="s">
        <v>7</v>
      </c>
      <c r="C11" s="15" t="s">
        <v>5</v>
      </c>
      <c r="D11" s="15">
        <v>2</v>
      </c>
      <c r="E11" s="16">
        <v>8</v>
      </c>
      <c r="F11" s="17"/>
      <c r="G11" s="16">
        <f>10.5+0.5+2.5</f>
        <v>13.5</v>
      </c>
      <c r="H11" s="16">
        <f>11.5+1.4</f>
        <v>12.9</v>
      </c>
      <c r="I11" s="18">
        <f t="shared" si="0"/>
        <v>26.4</v>
      </c>
    </row>
    <row r="12" spans="1:9" ht="15.75" x14ac:dyDescent="0.25">
      <c r="A12" s="13">
        <v>8</v>
      </c>
      <c r="B12" s="20" t="s">
        <v>9</v>
      </c>
      <c r="C12" s="15" t="s">
        <v>5</v>
      </c>
      <c r="D12" s="15">
        <v>3</v>
      </c>
      <c r="E12" s="16">
        <v>1</v>
      </c>
      <c r="F12" s="17"/>
      <c r="G12" s="16">
        <f>15</f>
        <v>15</v>
      </c>
      <c r="H12" s="16">
        <f>6.5+2</f>
        <v>8.5</v>
      </c>
      <c r="I12" s="18">
        <f t="shared" si="0"/>
        <v>23.5</v>
      </c>
    </row>
    <row r="13" spans="1:9" ht="15.75" x14ac:dyDescent="0.25">
      <c r="A13" s="13">
        <v>9</v>
      </c>
      <c r="B13" s="20" t="s">
        <v>28</v>
      </c>
      <c r="C13" s="15">
        <v>17</v>
      </c>
      <c r="D13" s="15">
        <v>4</v>
      </c>
      <c r="E13" s="16">
        <v>7</v>
      </c>
      <c r="F13" s="17"/>
      <c r="G13" s="16">
        <f>8.5+1+1</f>
        <v>10.5</v>
      </c>
      <c r="H13" s="16">
        <f>12</f>
        <v>12</v>
      </c>
      <c r="I13" s="18">
        <f t="shared" si="0"/>
        <v>22.5</v>
      </c>
    </row>
    <row r="14" spans="1:9" ht="15.75" x14ac:dyDescent="0.25">
      <c r="A14" s="13">
        <v>10</v>
      </c>
      <c r="B14" s="20" t="s">
        <v>10</v>
      </c>
      <c r="C14" s="15"/>
      <c r="D14" s="15">
        <v>8</v>
      </c>
      <c r="E14" s="16">
        <v>3</v>
      </c>
      <c r="F14" s="17">
        <v>1</v>
      </c>
      <c r="G14" s="16">
        <f>11.5</f>
        <v>11.5</v>
      </c>
      <c r="H14" s="16">
        <v>9.5</v>
      </c>
      <c r="I14" s="18">
        <f t="shared" si="0"/>
        <v>22</v>
      </c>
    </row>
    <row r="15" spans="1:9" ht="15.75" x14ac:dyDescent="0.25">
      <c r="A15" s="13">
        <v>11</v>
      </c>
      <c r="B15" s="14" t="s">
        <v>14</v>
      </c>
      <c r="C15" s="15">
        <v>8</v>
      </c>
      <c r="D15" s="15">
        <v>10</v>
      </c>
      <c r="E15" s="16">
        <v>2</v>
      </c>
      <c r="F15" s="17"/>
      <c r="G15" s="16">
        <f>10.5</f>
        <v>10.5</v>
      </c>
      <c r="H15" s="16">
        <f>10.5</f>
        <v>10.5</v>
      </c>
      <c r="I15" s="18">
        <f t="shared" si="0"/>
        <v>21</v>
      </c>
    </row>
    <row r="16" spans="1:9" ht="15.75" x14ac:dyDescent="0.25">
      <c r="A16" s="13">
        <v>12</v>
      </c>
      <c r="B16" s="20" t="s">
        <v>27</v>
      </c>
      <c r="C16" s="15"/>
      <c r="D16" s="15">
        <v>3</v>
      </c>
      <c r="E16" s="16">
        <v>10</v>
      </c>
      <c r="F16" s="17"/>
      <c r="G16" s="16">
        <f>9.5+1</f>
        <v>10.5</v>
      </c>
      <c r="H16" s="16">
        <f>10</f>
        <v>10</v>
      </c>
      <c r="I16" s="18">
        <f t="shared" si="0"/>
        <v>20.5</v>
      </c>
    </row>
    <row r="17" spans="1:9" ht="15.75" x14ac:dyDescent="0.25">
      <c r="A17" s="13">
        <v>13</v>
      </c>
      <c r="B17" s="19" t="s">
        <v>18</v>
      </c>
      <c r="C17" s="15">
        <v>3</v>
      </c>
      <c r="D17" s="15">
        <v>6</v>
      </c>
      <c r="E17" s="16">
        <v>9</v>
      </c>
      <c r="F17" s="17"/>
      <c r="G17" s="16">
        <f>7+1.5</f>
        <v>8.5</v>
      </c>
      <c r="H17" s="16">
        <f>11</f>
        <v>11</v>
      </c>
      <c r="I17" s="18">
        <f t="shared" si="0"/>
        <v>19.5</v>
      </c>
    </row>
    <row r="18" spans="1:9" ht="15.75" x14ac:dyDescent="0.25">
      <c r="A18" s="13">
        <v>14</v>
      </c>
      <c r="B18" s="14" t="s">
        <v>13</v>
      </c>
      <c r="C18" s="15">
        <v>3</v>
      </c>
      <c r="D18" s="15">
        <v>7</v>
      </c>
      <c r="E18" s="16">
        <v>6</v>
      </c>
      <c r="F18" s="17">
        <v>0.5</v>
      </c>
      <c r="G18" s="16">
        <f>12-2</f>
        <v>10</v>
      </c>
      <c r="H18" s="16">
        <v>7</v>
      </c>
      <c r="I18" s="18">
        <f t="shared" si="0"/>
        <v>17.5</v>
      </c>
    </row>
    <row r="19" spans="1:9" ht="15.75" x14ac:dyDescent="0.25">
      <c r="A19" s="13">
        <v>15</v>
      </c>
      <c r="B19" s="14" t="s">
        <v>16</v>
      </c>
      <c r="C19" s="15" t="s">
        <v>5</v>
      </c>
      <c r="D19" s="15">
        <v>4</v>
      </c>
      <c r="E19" s="16">
        <v>1</v>
      </c>
      <c r="F19" s="17"/>
      <c r="G19" s="16">
        <f>3.5+2</f>
        <v>5.5</v>
      </c>
      <c r="H19" s="16">
        <f>11.5+0.5</f>
        <v>12</v>
      </c>
      <c r="I19" s="18">
        <f t="shared" si="0"/>
        <v>17.5</v>
      </c>
    </row>
    <row r="20" spans="1:9" ht="15.75" x14ac:dyDescent="0.25">
      <c r="A20" s="13">
        <v>16</v>
      </c>
      <c r="B20" s="20" t="s">
        <v>20</v>
      </c>
      <c r="C20" s="15" t="s">
        <v>5</v>
      </c>
      <c r="D20" s="15">
        <v>9</v>
      </c>
      <c r="E20" s="16">
        <v>8</v>
      </c>
      <c r="F20" s="17"/>
      <c r="G20" s="16">
        <v>11</v>
      </c>
      <c r="H20" s="16">
        <f>6</f>
        <v>6</v>
      </c>
      <c r="I20" s="18">
        <f t="shared" si="0"/>
        <v>17</v>
      </c>
    </row>
    <row r="21" spans="1:9" ht="15.75" x14ac:dyDescent="0.25">
      <c r="A21" s="13">
        <v>17</v>
      </c>
      <c r="B21" s="26" t="s">
        <v>21</v>
      </c>
      <c r="C21" s="15" t="s">
        <v>5</v>
      </c>
      <c r="D21" s="15">
        <v>1</v>
      </c>
      <c r="E21" s="16">
        <v>7</v>
      </c>
      <c r="F21" s="17"/>
      <c r="G21" s="16">
        <f>6.5+2.5</f>
        <v>9</v>
      </c>
      <c r="H21" s="16">
        <f>6.5+1</f>
        <v>7.5</v>
      </c>
      <c r="I21" s="18">
        <f t="shared" si="0"/>
        <v>16.5</v>
      </c>
    </row>
    <row r="22" spans="1:9" ht="15.75" x14ac:dyDescent="0.25">
      <c r="A22" s="13">
        <v>18</v>
      </c>
      <c r="B22" s="14" t="s">
        <v>12</v>
      </c>
      <c r="C22" s="15">
        <v>7</v>
      </c>
      <c r="D22" s="15">
        <v>7</v>
      </c>
      <c r="E22" s="16">
        <v>4</v>
      </c>
      <c r="F22" s="17"/>
      <c r="G22" s="16">
        <f>6.5</f>
        <v>6.5</v>
      </c>
      <c r="H22" s="16">
        <v>8.5</v>
      </c>
      <c r="I22" s="18">
        <f t="shared" si="0"/>
        <v>15</v>
      </c>
    </row>
    <row r="23" spans="1:9" ht="15.75" x14ac:dyDescent="0.25">
      <c r="A23" s="13">
        <v>19</v>
      </c>
      <c r="B23" s="20" t="s">
        <v>25</v>
      </c>
      <c r="C23" s="15">
        <v>19</v>
      </c>
      <c r="D23" s="15">
        <v>3</v>
      </c>
      <c r="E23" s="16">
        <v>5</v>
      </c>
      <c r="F23" s="17"/>
      <c r="G23" s="16">
        <f>4.5+2-2</f>
        <v>4.5</v>
      </c>
      <c r="H23" s="16">
        <f>7.5+1</f>
        <v>8.5</v>
      </c>
      <c r="I23" s="18">
        <f t="shared" si="0"/>
        <v>13</v>
      </c>
    </row>
    <row r="24" spans="1:9" ht="15.75" x14ac:dyDescent="0.25">
      <c r="A24" s="13">
        <v>20</v>
      </c>
      <c r="B24" s="20" t="s">
        <v>11</v>
      </c>
      <c r="C24" s="15">
        <v>1</v>
      </c>
      <c r="D24" s="15">
        <v>2</v>
      </c>
      <c r="E24" s="16">
        <v>4</v>
      </c>
      <c r="F24" s="17"/>
      <c r="G24" s="16">
        <f>5.5+1</f>
        <v>6.5</v>
      </c>
      <c r="H24" s="16">
        <f>3.5+2</f>
        <v>5.5</v>
      </c>
      <c r="I24" s="18">
        <f t="shared" si="0"/>
        <v>12</v>
      </c>
    </row>
    <row r="25" spans="1:9" ht="15.75" x14ac:dyDescent="0.25">
      <c r="A25" s="13">
        <v>21</v>
      </c>
      <c r="B25" s="20" t="s">
        <v>31</v>
      </c>
      <c r="C25" s="15" t="s">
        <v>5</v>
      </c>
      <c r="D25" s="15">
        <v>8</v>
      </c>
      <c r="E25" s="16">
        <v>9</v>
      </c>
      <c r="F25" s="17"/>
      <c r="G25" s="16">
        <v>6</v>
      </c>
      <c r="H25" s="16">
        <v>5.5</v>
      </c>
      <c r="I25" s="18">
        <f t="shared" si="0"/>
        <v>11.5</v>
      </c>
    </row>
    <row r="26" spans="1:9" ht="15.75" x14ac:dyDescent="0.25">
      <c r="A26" s="13">
        <v>22</v>
      </c>
      <c r="B26" s="14" t="s">
        <v>17</v>
      </c>
      <c r="C26" s="15" t="s">
        <v>5</v>
      </c>
      <c r="D26" s="15">
        <v>5</v>
      </c>
      <c r="E26" s="16">
        <v>2</v>
      </c>
      <c r="F26" s="17"/>
      <c r="G26" s="16">
        <f>2.5</f>
        <v>2.5</v>
      </c>
      <c r="H26" s="16">
        <f>5.5+2.5</f>
        <v>8</v>
      </c>
      <c r="I26" s="18">
        <f t="shared" si="0"/>
        <v>10.5</v>
      </c>
    </row>
    <row r="27" spans="1:9" ht="15.75" x14ac:dyDescent="0.25">
      <c r="A27" s="13">
        <v>23</v>
      </c>
      <c r="B27" s="20" t="s">
        <v>33</v>
      </c>
      <c r="C27" s="15">
        <v>18</v>
      </c>
      <c r="D27" s="15">
        <v>9</v>
      </c>
      <c r="E27" s="16">
        <v>5</v>
      </c>
      <c r="F27" s="17"/>
      <c r="G27" s="16">
        <f>5.5</f>
        <v>5.5</v>
      </c>
      <c r="H27" s="16">
        <f>2.5+2</f>
        <v>4.5</v>
      </c>
      <c r="I27" s="18">
        <f t="shared" si="0"/>
        <v>10</v>
      </c>
    </row>
    <row r="28" spans="1:9" ht="15.75" x14ac:dyDescent="0.25">
      <c r="A28" s="13">
        <v>24</v>
      </c>
      <c r="B28" s="20" t="s">
        <v>29</v>
      </c>
      <c r="C28" s="15">
        <v>2</v>
      </c>
      <c r="D28" s="15">
        <v>5</v>
      </c>
      <c r="E28" s="16">
        <v>3</v>
      </c>
      <c r="F28" s="17"/>
      <c r="G28" s="16">
        <f>7.5</f>
        <v>7.5</v>
      </c>
      <c r="H28" s="16">
        <f>4.5+1.5-2-3</f>
        <v>1</v>
      </c>
      <c r="I28" s="18">
        <f t="shared" si="0"/>
        <v>8.5</v>
      </c>
    </row>
    <row r="29" spans="1:9" ht="15.75" x14ac:dyDescent="0.25">
      <c r="A29" s="13">
        <v>25</v>
      </c>
      <c r="B29" s="20" t="s">
        <v>26</v>
      </c>
      <c r="C29" s="15"/>
      <c r="D29" s="15">
        <v>6</v>
      </c>
      <c r="E29" s="16">
        <v>7</v>
      </c>
      <c r="F29" s="17"/>
      <c r="G29" s="16">
        <f>2</f>
        <v>2</v>
      </c>
      <c r="H29" s="16">
        <v>1.5</v>
      </c>
      <c r="I29" s="18">
        <f t="shared" si="0"/>
        <v>3.5</v>
      </c>
    </row>
    <row r="30" spans="1:9" ht="15.75" x14ac:dyDescent="0.25">
      <c r="A30" s="13">
        <v>26</v>
      </c>
      <c r="B30" s="14" t="s">
        <v>15</v>
      </c>
      <c r="C30" s="15">
        <v>5</v>
      </c>
      <c r="D30" s="15">
        <v>7</v>
      </c>
      <c r="E30" s="16">
        <v>6</v>
      </c>
      <c r="F30" s="17"/>
      <c r="G30" s="16">
        <f>1.5</f>
        <v>1.5</v>
      </c>
      <c r="H30" s="16">
        <v>2</v>
      </c>
      <c r="I30" s="18">
        <f t="shared" si="0"/>
        <v>3.5</v>
      </c>
    </row>
    <row r="31" spans="1:9" ht="15.75" x14ac:dyDescent="0.25">
      <c r="A31" s="13">
        <v>27</v>
      </c>
      <c r="B31" s="20" t="s">
        <v>32</v>
      </c>
      <c r="C31" s="15"/>
      <c r="D31" s="15">
        <v>8</v>
      </c>
      <c r="E31" s="16">
        <v>8</v>
      </c>
      <c r="F31" s="17"/>
      <c r="G31" s="16">
        <v>1</v>
      </c>
      <c r="H31" s="16">
        <v>1</v>
      </c>
      <c r="I31" s="18">
        <f t="shared" si="0"/>
        <v>2</v>
      </c>
    </row>
    <row r="32" spans="1:9" ht="16.5" thickBot="1" x14ac:dyDescent="0.3">
      <c r="A32" s="21">
        <v>28</v>
      </c>
      <c r="B32" s="27" t="s">
        <v>30</v>
      </c>
      <c r="C32" s="22"/>
      <c r="D32" s="22">
        <v>9</v>
      </c>
      <c r="E32" s="23">
        <v>9</v>
      </c>
      <c r="F32" s="24"/>
      <c r="G32" s="23">
        <v>0.5</v>
      </c>
      <c r="H32" s="23">
        <f>0.5-2</f>
        <v>-1.5</v>
      </c>
      <c r="I32" s="25">
        <f t="shared" si="0"/>
        <v>-1</v>
      </c>
    </row>
    <row r="33" spans="1:9" ht="15.75" hidden="1" x14ac:dyDescent="0.25">
      <c r="A33" s="28">
        <v>29</v>
      </c>
      <c r="B33" s="29"/>
      <c r="C33" s="30"/>
      <c r="D33" s="30"/>
      <c r="E33" s="31"/>
      <c r="F33" s="32"/>
      <c r="G33" s="31"/>
      <c r="H33" s="31"/>
      <c r="I33" s="33">
        <f t="shared" si="0"/>
        <v>0</v>
      </c>
    </row>
    <row r="34" spans="1:9" ht="16.5" hidden="1" thickBot="1" x14ac:dyDescent="0.3">
      <c r="A34" s="21">
        <v>30</v>
      </c>
      <c r="B34" s="27"/>
      <c r="C34" s="22"/>
      <c r="D34" s="22"/>
      <c r="E34" s="23"/>
      <c r="F34" s="24"/>
      <c r="G34" s="23"/>
      <c r="H34" s="23"/>
      <c r="I34" s="25">
        <f t="shared" si="0"/>
        <v>0</v>
      </c>
    </row>
  </sheetData>
  <sortState ref="B5:I32">
    <sortCondition descending="1" ref="I5:I32"/>
  </sortState>
  <mergeCells count="6">
    <mergeCell ref="A1:I2"/>
    <mergeCell ref="A3:A4"/>
    <mergeCell ref="B3:B4"/>
    <mergeCell ref="D3:E3"/>
    <mergeCell ref="F3:H3"/>
    <mergeCell ref="I3:I4"/>
  </mergeCells>
  <pageMargins left="0.70866141732283472" right="0.70866141732283472" top="0.74803149606299213" bottom="0.74803149606299213" header="0.31496062992125984" footer="0.31496062992125984"/>
  <pageSetup paperSize="9" scale="91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tabSelected="1" topLeftCell="B1" zoomScale="80" zoomScaleNormal="80" workbookViewId="0">
      <selection activeCell="B7" sqref="B7:J9"/>
    </sheetView>
  </sheetViews>
  <sheetFormatPr defaultRowHeight="15" x14ac:dyDescent="0.25"/>
  <cols>
    <col min="1" max="1" width="5.140625" customWidth="1"/>
    <col min="2" max="2" width="39.28515625" customWidth="1"/>
    <col min="3" max="4" width="7.7109375" customWidth="1"/>
  </cols>
  <sheetData>
    <row r="1" spans="1:10" x14ac:dyDescent="0.25">
      <c r="A1" s="167" t="s">
        <v>187</v>
      </c>
      <c r="B1" s="168"/>
      <c r="C1" s="168"/>
      <c r="D1" s="168"/>
      <c r="E1" s="168"/>
      <c r="F1" s="168"/>
      <c r="G1" s="168"/>
      <c r="H1" s="168"/>
      <c r="I1" s="168"/>
      <c r="J1" s="169"/>
    </row>
    <row r="2" spans="1:10" ht="15.75" thickBot="1" x14ac:dyDescent="0.3">
      <c r="A2" s="170"/>
      <c r="B2" s="158"/>
      <c r="C2" s="158"/>
      <c r="D2" s="158"/>
      <c r="E2" s="158"/>
      <c r="F2" s="158"/>
      <c r="G2" s="158"/>
      <c r="H2" s="158"/>
      <c r="I2" s="158"/>
      <c r="J2" s="171"/>
    </row>
    <row r="3" spans="1:10" ht="16.5" thickBot="1" x14ac:dyDescent="0.3">
      <c r="A3" s="159"/>
      <c r="B3" s="161" t="s">
        <v>0</v>
      </c>
      <c r="C3" s="186" t="s">
        <v>4</v>
      </c>
      <c r="D3" s="186" t="s">
        <v>1</v>
      </c>
      <c r="E3" s="172" t="s">
        <v>63</v>
      </c>
      <c r="F3" s="173"/>
      <c r="G3" s="164" t="s">
        <v>2</v>
      </c>
      <c r="H3" s="164"/>
      <c r="I3" s="164"/>
      <c r="J3" s="165" t="s">
        <v>3</v>
      </c>
    </row>
    <row r="4" spans="1:10" ht="16.5" thickBot="1" x14ac:dyDescent="0.3">
      <c r="A4" s="160"/>
      <c r="B4" s="162"/>
      <c r="C4" s="187"/>
      <c r="D4" s="187"/>
      <c r="E4" s="3">
        <v>1</v>
      </c>
      <c r="F4" s="183">
        <v>2</v>
      </c>
      <c r="G4" s="5">
        <v>0</v>
      </c>
      <c r="H4" s="184">
        <v>1</v>
      </c>
      <c r="I4" s="130">
        <v>2</v>
      </c>
      <c r="J4" s="166"/>
    </row>
    <row r="5" spans="1:10" ht="18" x14ac:dyDescent="0.25">
      <c r="A5" s="131">
        <v>1</v>
      </c>
      <c r="B5" s="196" t="s">
        <v>191</v>
      </c>
      <c r="C5" s="197">
        <v>5</v>
      </c>
      <c r="D5" s="197">
        <v>42.06</v>
      </c>
      <c r="E5" s="197">
        <v>3</v>
      </c>
      <c r="F5" s="197">
        <v>3</v>
      </c>
      <c r="G5" s="197">
        <v>2</v>
      </c>
      <c r="H5" s="197">
        <f>15+4.9+2.5</f>
        <v>22.4</v>
      </c>
      <c r="I5" s="197">
        <f>15+5.6+2.5</f>
        <v>23.1</v>
      </c>
      <c r="J5" s="198">
        <f>SUM(G5:I5)</f>
        <v>47.5</v>
      </c>
    </row>
    <row r="6" spans="1:10" ht="18.75" thickBot="1" x14ac:dyDescent="0.3">
      <c r="A6" s="54">
        <v>2</v>
      </c>
      <c r="B6" s="199" t="s">
        <v>206</v>
      </c>
      <c r="C6" s="200">
        <v>7.5</v>
      </c>
      <c r="D6" s="200">
        <v>42.01</v>
      </c>
      <c r="E6" s="201">
        <v>9</v>
      </c>
      <c r="F6" s="201">
        <v>1</v>
      </c>
      <c r="G6" s="201">
        <v>2.5</v>
      </c>
      <c r="H6" s="201">
        <f>11+1.4+1</f>
        <v>13.4</v>
      </c>
      <c r="I6" s="201">
        <f>17+4.9+2</f>
        <v>23.9</v>
      </c>
      <c r="J6" s="202">
        <f>SUM(G6:I6)</f>
        <v>39.799999999999997</v>
      </c>
    </row>
    <row r="7" spans="1:10" ht="18" x14ac:dyDescent="0.25">
      <c r="A7" s="54">
        <v>3</v>
      </c>
      <c r="B7" s="203" t="s">
        <v>9</v>
      </c>
      <c r="C7" s="204" t="s">
        <v>5</v>
      </c>
      <c r="D7" s="204">
        <v>43.09</v>
      </c>
      <c r="E7" s="188">
        <v>1</v>
      </c>
      <c r="F7" s="188">
        <v>2</v>
      </c>
      <c r="G7" s="188"/>
      <c r="H7" s="188">
        <f>17+1.4</f>
        <v>18.399999999999999</v>
      </c>
      <c r="I7" s="188">
        <f>16+1.4+1</f>
        <v>18.399999999999999</v>
      </c>
      <c r="J7" s="146">
        <f>SUM(G7:I7)</f>
        <v>36.799999999999997</v>
      </c>
    </row>
    <row r="8" spans="1:10" ht="18" x14ac:dyDescent="0.25">
      <c r="A8" s="54">
        <v>4</v>
      </c>
      <c r="B8" s="190" t="s">
        <v>203</v>
      </c>
      <c r="C8" s="93"/>
      <c r="D8" s="93">
        <v>42.58</v>
      </c>
      <c r="E8" s="93">
        <v>7</v>
      </c>
      <c r="F8" s="93">
        <v>4</v>
      </c>
      <c r="G8" s="93"/>
      <c r="H8" s="93">
        <f>12+0.5</f>
        <v>12.5</v>
      </c>
      <c r="I8" s="93">
        <f>14+2.1+0.5</f>
        <v>16.600000000000001</v>
      </c>
      <c r="J8" s="98">
        <f>SUM(G8:I8)</f>
        <v>29.1</v>
      </c>
    </row>
    <row r="9" spans="1:10" ht="18" x14ac:dyDescent="0.25">
      <c r="A9" s="54">
        <v>5</v>
      </c>
      <c r="B9" s="182" t="s">
        <v>49</v>
      </c>
      <c r="C9" s="179">
        <v>12.5</v>
      </c>
      <c r="D9" s="179">
        <v>43.29</v>
      </c>
      <c r="E9" s="93">
        <v>2</v>
      </c>
      <c r="F9" s="93">
        <v>7</v>
      </c>
      <c r="G9" s="93"/>
      <c r="H9" s="93">
        <f>16</f>
        <v>16</v>
      </c>
      <c r="I9" s="93">
        <v>12</v>
      </c>
      <c r="J9" s="98">
        <f>SUM(G9:I9)</f>
        <v>28</v>
      </c>
    </row>
    <row r="10" spans="1:10" ht="18" x14ac:dyDescent="0.25">
      <c r="A10" s="54">
        <v>6</v>
      </c>
      <c r="B10" s="191" t="s">
        <v>175</v>
      </c>
      <c r="C10" s="93" t="s">
        <v>5</v>
      </c>
      <c r="D10" s="93">
        <v>42.5</v>
      </c>
      <c r="E10" s="93">
        <v>6</v>
      </c>
      <c r="F10" s="93">
        <v>8</v>
      </c>
      <c r="G10" s="93">
        <v>0.5</v>
      </c>
      <c r="H10" s="93">
        <f>12.5+0.7+1.5</f>
        <v>14.7</v>
      </c>
      <c r="I10" s="93">
        <f>11.5+0.7</f>
        <v>12.2</v>
      </c>
      <c r="J10" s="98">
        <f>SUM(G10:I10)</f>
        <v>27.4</v>
      </c>
    </row>
    <row r="11" spans="1:10" ht="18" x14ac:dyDescent="0.25">
      <c r="A11" s="54">
        <v>7</v>
      </c>
      <c r="B11" s="191" t="s">
        <v>38</v>
      </c>
      <c r="C11" s="93" t="s">
        <v>5</v>
      </c>
      <c r="D11" s="93">
        <v>42.39</v>
      </c>
      <c r="E11" s="179">
        <v>8</v>
      </c>
      <c r="F11" s="179">
        <v>11</v>
      </c>
      <c r="G11" s="179">
        <v>1.5</v>
      </c>
      <c r="H11" s="179">
        <f>11.5+0.7+2</f>
        <v>14.2</v>
      </c>
      <c r="I11" s="179">
        <f>10+1.5</f>
        <v>11.5</v>
      </c>
      <c r="J11" s="98">
        <f>SUM(G11:I11)</f>
        <v>27.2</v>
      </c>
    </row>
    <row r="12" spans="1:10" ht="18" x14ac:dyDescent="0.25">
      <c r="A12" s="54">
        <v>8</v>
      </c>
      <c r="B12" s="190" t="s">
        <v>200</v>
      </c>
      <c r="C12" s="179" t="s">
        <v>5</v>
      </c>
      <c r="D12" s="179">
        <v>42.77</v>
      </c>
      <c r="E12" s="93">
        <v>5</v>
      </c>
      <c r="F12" s="93">
        <v>3</v>
      </c>
      <c r="G12" s="181"/>
      <c r="H12" s="93">
        <f>13</f>
        <v>13</v>
      </c>
      <c r="I12" s="93">
        <f>9.5+3</f>
        <v>12.5</v>
      </c>
      <c r="J12" s="98">
        <f>SUM(G12:I12)</f>
        <v>25.5</v>
      </c>
    </row>
    <row r="13" spans="1:10" ht="18" x14ac:dyDescent="0.25">
      <c r="A13" s="54">
        <v>9</v>
      </c>
      <c r="B13" s="189" t="s">
        <v>10</v>
      </c>
      <c r="C13" s="93">
        <v>12.5</v>
      </c>
      <c r="D13" s="93">
        <v>43.69</v>
      </c>
      <c r="E13" s="96">
        <v>2</v>
      </c>
      <c r="F13" s="96">
        <v>2</v>
      </c>
      <c r="G13" s="96"/>
      <c r="H13" s="96">
        <f>10.5+1</f>
        <v>11.5</v>
      </c>
      <c r="I13" s="96">
        <f>10.5+1</f>
        <v>11.5</v>
      </c>
      <c r="J13" s="98">
        <f>SUM(G13:I13)</f>
        <v>23</v>
      </c>
    </row>
    <row r="14" spans="1:10" ht="18" x14ac:dyDescent="0.25">
      <c r="A14" s="54">
        <v>10</v>
      </c>
      <c r="B14" s="190" t="s">
        <v>196</v>
      </c>
      <c r="C14" s="180"/>
      <c r="D14" s="180">
        <v>42.75</v>
      </c>
      <c r="E14" s="93">
        <v>4</v>
      </c>
      <c r="F14" s="93">
        <v>4</v>
      </c>
      <c r="G14" s="93"/>
      <c r="H14" s="93">
        <f>14+0.7</f>
        <v>14.7</v>
      </c>
      <c r="I14" s="93">
        <f>8.5+2-3</f>
        <v>7.5</v>
      </c>
      <c r="J14" s="98">
        <f>SUM(G14:I14)</f>
        <v>22.2</v>
      </c>
    </row>
    <row r="15" spans="1:10" ht="18" x14ac:dyDescent="0.25">
      <c r="A15" s="54">
        <v>11</v>
      </c>
      <c r="B15" s="182" t="s">
        <v>25</v>
      </c>
      <c r="C15" s="179">
        <v>17.5</v>
      </c>
      <c r="D15" s="179">
        <v>42.45</v>
      </c>
      <c r="E15" s="93">
        <v>10</v>
      </c>
      <c r="F15" s="93">
        <v>10</v>
      </c>
      <c r="G15" s="93">
        <v>1</v>
      </c>
      <c r="H15" s="93">
        <v>10.5</v>
      </c>
      <c r="I15" s="93">
        <v>10.5</v>
      </c>
      <c r="J15" s="98">
        <f>SUM(G15:I15)</f>
        <v>22</v>
      </c>
    </row>
    <row r="16" spans="1:10" ht="18" x14ac:dyDescent="0.25">
      <c r="A16" s="54">
        <v>12</v>
      </c>
      <c r="B16" s="182" t="s">
        <v>18</v>
      </c>
      <c r="C16" s="179"/>
      <c r="D16" s="179">
        <v>43.31</v>
      </c>
      <c r="E16" s="93">
        <v>11</v>
      </c>
      <c r="F16" s="93">
        <v>7</v>
      </c>
      <c r="G16" s="93"/>
      <c r="H16" s="93">
        <v>10</v>
      </c>
      <c r="I16" s="93">
        <f>6.5+1.5</f>
        <v>8</v>
      </c>
      <c r="J16" s="98">
        <f>SUM(G16:I16)</f>
        <v>18</v>
      </c>
    </row>
    <row r="17" spans="1:10" ht="18" x14ac:dyDescent="0.25">
      <c r="A17" s="54">
        <v>13</v>
      </c>
      <c r="B17" s="190" t="s">
        <v>93</v>
      </c>
      <c r="C17" s="93">
        <v>10</v>
      </c>
      <c r="D17" s="93">
        <v>43.41</v>
      </c>
      <c r="E17" s="179">
        <v>10</v>
      </c>
      <c r="F17" s="179">
        <v>5</v>
      </c>
      <c r="G17" s="179"/>
      <c r="H17" s="179">
        <v>5</v>
      </c>
      <c r="I17" s="179">
        <v>13</v>
      </c>
      <c r="J17" s="98">
        <f>SUM(G17:I17)</f>
        <v>18</v>
      </c>
    </row>
    <row r="18" spans="1:10" ht="18" x14ac:dyDescent="0.25">
      <c r="A18" s="54">
        <v>14</v>
      </c>
      <c r="B18" s="190" t="s">
        <v>189</v>
      </c>
      <c r="C18" s="96">
        <v>2.5</v>
      </c>
      <c r="D18" s="96">
        <v>43.83</v>
      </c>
      <c r="E18" s="179">
        <v>6</v>
      </c>
      <c r="F18" s="179">
        <v>6</v>
      </c>
      <c r="G18" s="179"/>
      <c r="H18" s="179">
        <f>1.5+2</f>
        <v>3.5</v>
      </c>
      <c r="I18" s="179">
        <v>12.5</v>
      </c>
      <c r="J18" s="98">
        <f>SUM(G18:I18)</f>
        <v>16</v>
      </c>
    </row>
    <row r="19" spans="1:10" ht="18" x14ac:dyDescent="0.25">
      <c r="A19" s="54">
        <v>15</v>
      </c>
      <c r="B19" s="192" t="s">
        <v>198</v>
      </c>
      <c r="C19" s="96">
        <v>5</v>
      </c>
      <c r="D19" s="96">
        <v>43.37</v>
      </c>
      <c r="E19" s="179">
        <v>6</v>
      </c>
      <c r="F19" s="179">
        <v>9</v>
      </c>
      <c r="G19" s="179"/>
      <c r="H19" s="179">
        <f>7+2-5</f>
        <v>4</v>
      </c>
      <c r="I19" s="179">
        <v>11</v>
      </c>
      <c r="J19" s="98">
        <f>SUM(G19:I19)</f>
        <v>15</v>
      </c>
    </row>
    <row r="20" spans="1:10" ht="18" x14ac:dyDescent="0.25">
      <c r="A20" s="54">
        <v>16</v>
      </c>
      <c r="B20" s="193" t="s">
        <v>205</v>
      </c>
      <c r="C20" s="96">
        <v>20</v>
      </c>
      <c r="D20" s="96">
        <v>43.8</v>
      </c>
      <c r="E20" s="93">
        <v>3</v>
      </c>
      <c r="F20" s="93">
        <v>1</v>
      </c>
      <c r="G20" s="93"/>
      <c r="H20" s="93">
        <v>9.5</v>
      </c>
      <c r="I20" s="93">
        <f>11.5+0.5-7</f>
        <v>5</v>
      </c>
      <c r="J20" s="98">
        <f>SUM(G20:I20)</f>
        <v>14.5</v>
      </c>
    </row>
    <row r="21" spans="1:10" ht="18" x14ac:dyDescent="0.25">
      <c r="A21" s="54">
        <v>17</v>
      </c>
      <c r="B21" s="191" t="s">
        <v>126</v>
      </c>
      <c r="C21" s="93">
        <v>12.5</v>
      </c>
      <c r="D21" s="93">
        <v>43.92</v>
      </c>
      <c r="E21" s="96">
        <v>3</v>
      </c>
      <c r="F21" s="96">
        <v>1</v>
      </c>
      <c r="G21" s="96"/>
      <c r="H21" s="96">
        <f>4+2.5</f>
        <v>6.5</v>
      </c>
      <c r="I21" s="96">
        <f>6+2</f>
        <v>8</v>
      </c>
      <c r="J21" s="98">
        <f>SUM(G21:I21)</f>
        <v>14.5</v>
      </c>
    </row>
    <row r="22" spans="1:10" ht="18" x14ac:dyDescent="0.25">
      <c r="A22" s="54">
        <v>18</v>
      </c>
      <c r="B22" s="190" t="s">
        <v>150</v>
      </c>
      <c r="C22" s="93">
        <v>2.5</v>
      </c>
      <c r="D22" s="93">
        <v>43.77</v>
      </c>
      <c r="E22" s="93">
        <v>4</v>
      </c>
      <c r="F22" s="93">
        <v>9</v>
      </c>
      <c r="G22" s="93"/>
      <c r="H22" s="93">
        <v>8.5</v>
      </c>
      <c r="I22" s="93">
        <v>5.5</v>
      </c>
      <c r="J22" s="98">
        <f>SUM(G22:I22)</f>
        <v>14</v>
      </c>
    </row>
    <row r="23" spans="1:10" ht="18" x14ac:dyDescent="0.25">
      <c r="A23" s="54">
        <v>19</v>
      </c>
      <c r="B23" s="191" t="s">
        <v>192</v>
      </c>
      <c r="C23" s="93" t="s">
        <v>5</v>
      </c>
      <c r="D23" s="93">
        <v>43.63</v>
      </c>
      <c r="E23" s="96">
        <v>8</v>
      </c>
      <c r="F23" s="96">
        <v>2</v>
      </c>
      <c r="G23" s="96"/>
      <c r="H23" s="96">
        <v>6</v>
      </c>
      <c r="I23" s="96">
        <f>5+2</f>
        <v>7</v>
      </c>
      <c r="J23" s="98">
        <f>SUM(G23:I23)</f>
        <v>13</v>
      </c>
    </row>
    <row r="24" spans="1:10" ht="18" x14ac:dyDescent="0.25">
      <c r="A24" s="54">
        <v>20</v>
      </c>
      <c r="B24" s="190" t="s">
        <v>59</v>
      </c>
      <c r="C24" s="93">
        <v>12.5</v>
      </c>
      <c r="D24" s="93">
        <v>43.7</v>
      </c>
      <c r="E24" s="93">
        <v>1</v>
      </c>
      <c r="F24" s="93">
        <v>8</v>
      </c>
      <c r="G24" s="93"/>
      <c r="H24" s="93">
        <f>11.5+1</f>
        <v>12.5</v>
      </c>
      <c r="I24" s="93">
        <f>6-2-5</f>
        <v>-1</v>
      </c>
      <c r="J24" s="98">
        <f>SUM(G24:I24)</f>
        <v>11.5</v>
      </c>
    </row>
    <row r="25" spans="1:10" ht="18" x14ac:dyDescent="0.25">
      <c r="A25" s="54">
        <v>21</v>
      </c>
      <c r="B25" s="182" t="s">
        <v>207</v>
      </c>
      <c r="C25" s="179">
        <v>20</v>
      </c>
      <c r="D25" s="179">
        <v>43.83</v>
      </c>
      <c r="E25" s="180">
        <v>7</v>
      </c>
      <c r="F25" s="180">
        <v>5</v>
      </c>
      <c r="G25" s="180"/>
      <c r="H25" s="180">
        <f>1+2</f>
        <v>3</v>
      </c>
      <c r="I25" s="180">
        <v>7.5</v>
      </c>
      <c r="J25" s="98">
        <f>SUM(G25:I25)</f>
        <v>10.5</v>
      </c>
    </row>
    <row r="26" spans="1:10" ht="18" x14ac:dyDescent="0.25">
      <c r="A26" s="54">
        <v>22</v>
      </c>
      <c r="B26" s="182" t="s">
        <v>60</v>
      </c>
      <c r="C26" s="179"/>
      <c r="D26" s="179">
        <v>43.57</v>
      </c>
      <c r="E26" s="179">
        <v>7</v>
      </c>
      <c r="F26" s="179">
        <v>10</v>
      </c>
      <c r="G26" s="179"/>
      <c r="H26" s="179">
        <f>6.5-3</f>
        <v>3.5</v>
      </c>
      <c r="I26" s="179">
        <f>5+0.5</f>
        <v>5.5</v>
      </c>
      <c r="J26" s="98">
        <f>SUM(G26:I26)</f>
        <v>9</v>
      </c>
    </row>
    <row r="27" spans="1:10" ht="18" x14ac:dyDescent="0.25">
      <c r="A27" s="54">
        <v>23</v>
      </c>
      <c r="B27" s="194" t="s">
        <v>134</v>
      </c>
      <c r="C27" s="93" t="s">
        <v>5</v>
      </c>
      <c r="D27" s="93">
        <v>43.48</v>
      </c>
      <c r="E27" s="93">
        <v>5</v>
      </c>
      <c r="F27" s="93">
        <v>11</v>
      </c>
      <c r="G27" s="93"/>
      <c r="H27" s="93">
        <f>7.5+1.5-5</f>
        <v>4</v>
      </c>
      <c r="I27" s="93">
        <v>4.5</v>
      </c>
      <c r="J27" s="98">
        <f>SUM(G27:I27)</f>
        <v>8.5</v>
      </c>
    </row>
    <row r="28" spans="1:10" ht="18" x14ac:dyDescent="0.25">
      <c r="A28" s="54">
        <v>24</v>
      </c>
      <c r="B28" s="190" t="s">
        <v>199</v>
      </c>
      <c r="C28" s="93" t="s">
        <v>5</v>
      </c>
      <c r="D28" s="93">
        <v>43.57</v>
      </c>
      <c r="E28" s="179">
        <v>9</v>
      </c>
      <c r="F28" s="179">
        <v>5</v>
      </c>
      <c r="G28" s="179"/>
      <c r="H28" s="179">
        <v>5.5</v>
      </c>
      <c r="I28" s="179">
        <v>2</v>
      </c>
      <c r="J28" s="98">
        <f>SUM(G28:I28)</f>
        <v>7.5</v>
      </c>
    </row>
    <row r="29" spans="1:10" ht="18" x14ac:dyDescent="0.25">
      <c r="A29" s="54">
        <v>25</v>
      </c>
      <c r="B29" s="191" t="s">
        <v>193</v>
      </c>
      <c r="C29" s="179">
        <v>7.5</v>
      </c>
      <c r="D29" s="179">
        <v>45.2</v>
      </c>
      <c r="E29" s="179">
        <v>4</v>
      </c>
      <c r="F29" s="179">
        <v>4</v>
      </c>
      <c r="G29" s="179"/>
      <c r="H29" s="179">
        <f>3</f>
        <v>3</v>
      </c>
      <c r="I29" s="179">
        <v>3</v>
      </c>
      <c r="J29" s="98">
        <f>SUM(G29:I29)</f>
        <v>6</v>
      </c>
    </row>
    <row r="30" spans="1:10" ht="18" x14ac:dyDescent="0.25">
      <c r="A30" s="54">
        <v>26</v>
      </c>
      <c r="B30" s="191" t="s">
        <v>178</v>
      </c>
      <c r="C30" s="93" t="s">
        <v>5</v>
      </c>
      <c r="D30" s="93">
        <v>43.97</v>
      </c>
      <c r="E30" s="96">
        <v>1</v>
      </c>
      <c r="F30" s="96">
        <v>6</v>
      </c>
      <c r="G30" s="96"/>
      <c r="H30" s="96">
        <f>6+3-4</f>
        <v>5</v>
      </c>
      <c r="I30" s="96">
        <f>7-7</f>
        <v>0</v>
      </c>
      <c r="J30" s="98">
        <f>SUM(G30:I30)</f>
        <v>5</v>
      </c>
    </row>
    <row r="31" spans="1:10" ht="18" x14ac:dyDescent="0.25">
      <c r="A31" s="56">
        <v>27</v>
      </c>
      <c r="B31" s="190" t="s">
        <v>15</v>
      </c>
      <c r="C31" s="93">
        <v>7.5</v>
      </c>
      <c r="D31" s="93">
        <v>44</v>
      </c>
      <c r="E31" s="93">
        <v>2</v>
      </c>
      <c r="F31" s="93">
        <v>7</v>
      </c>
      <c r="G31" s="93"/>
      <c r="H31" s="93">
        <f>5+2</f>
        <v>7</v>
      </c>
      <c r="I31" s="93">
        <f>1+1-5</f>
        <v>-3</v>
      </c>
      <c r="J31" s="98">
        <f>SUM(G31:I31)</f>
        <v>4</v>
      </c>
    </row>
    <row r="32" spans="1:10" ht="21" customHeight="1" x14ac:dyDescent="0.25">
      <c r="A32" s="123">
        <v>28</v>
      </c>
      <c r="B32" s="191" t="s">
        <v>194</v>
      </c>
      <c r="C32" s="180" t="s">
        <v>5</v>
      </c>
      <c r="D32" s="180">
        <v>44.16</v>
      </c>
      <c r="E32" s="93">
        <v>11</v>
      </c>
      <c r="F32" s="93">
        <v>5</v>
      </c>
      <c r="G32" s="93"/>
      <c r="H32" s="93">
        <v>0</v>
      </c>
      <c r="I32" s="93">
        <f>1.5+2</f>
        <v>3.5</v>
      </c>
      <c r="J32" s="98">
        <f>SUM(G32:I32)</f>
        <v>3.5</v>
      </c>
    </row>
    <row r="33" spans="1:10" ht="18" x14ac:dyDescent="0.25">
      <c r="A33" s="128">
        <v>29</v>
      </c>
      <c r="B33" s="191" t="s">
        <v>201</v>
      </c>
      <c r="C33" s="93">
        <v>20</v>
      </c>
      <c r="D33" s="93">
        <v>44.58</v>
      </c>
      <c r="E33" s="93">
        <v>8</v>
      </c>
      <c r="F33" s="93">
        <v>8</v>
      </c>
      <c r="G33" s="93"/>
      <c r="H33" s="93">
        <f>0.5</f>
        <v>0.5</v>
      </c>
      <c r="I33" s="93">
        <v>0.5</v>
      </c>
      <c r="J33" s="98">
        <f>SUM(G33:I33)</f>
        <v>1</v>
      </c>
    </row>
    <row r="34" spans="1:10" ht="18" x14ac:dyDescent="0.25">
      <c r="A34" s="139">
        <v>30</v>
      </c>
      <c r="B34" s="190" t="s">
        <v>202</v>
      </c>
      <c r="C34" s="96" t="s">
        <v>5</v>
      </c>
      <c r="D34" s="96">
        <v>44.57</v>
      </c>
      <c r="E34" s="93">
        <v>5</v>
      </c>
      <c r="F34" s="93">
        <v>3</v>
      </c>
      <c r="G34" s="93"/>
      <c r="H34" s="93">
        <f>2-1</f>
        <v>1</v>
      </c>
      <c r="I34" s="93">
        <f>4-7</f>
        <v>-3</v>
      </c>
      <c r="J34" s="98">
        <f>SUM(G34:I34)</f>
        <v>-2</v>
      </c>
    </row>
    <row r="35" spans="1:10" ht="18" x14ac:dyDescent="0.25">
      <c r="A35" s="103">
        <v>31</v>
      </c>
      <c r="B35" s="195" t="s">
        <v>62</v>
      </c>
      <c r="C35" s="93" t="s">
        <v>5</v>
      </c>
      <c r="D35" s="93">
        <v>43.85</v>
      </c>
      <c r="E35" s="96">
        <v>9</v>
      </c>
      <c r="F35" s="96">
        <v>10</v>
      </c>
      <c r="G35" s="96"/>
      <c r="H35" s="96">
        <f>0-2-7</f>
        <v>-9</v>
      </c>
      <c r="I35" s="96">
        <v>0</v>
      </c>
      <c r="J35" s="98">
        <f>SUM(G35:I35)</f>
        <v>-9</v>
      </c>
    </row>
    <row r="36" spans="1:10" ht="18" x14ac:dyDescent="0.25">
      <c r="A36" s="103">
        <v>32</v>
      </c>
      <c r="B36" s="189" t="s">
        <v>210</v>
      </c>
      <c r="C36" s="93" t="s">
        <v>5</v>
      </c>
      <c r="D36" s="93">
        <v>44.09</v>
      </c>
      <c r="E36" s="93">
        <v>10</v>
      </c>
      <c r="F36" s="93">
        <v>9</v>
      </c>
      <c r="G36" s="93"/>
      <c r="H36" s="93">
        <f>0-4-7</f>
        <v>-11</v>
      </c>
      <c r="I36" s="93">
        <v>0</v>
      </c>
      <c r="J36" s="98">
        <f>SUM(G36:I36)</f>
        <v>-11</v>
      </c>
    </row>
    <row r="37" spans="1:10" ht="18" x14ac:dyDescent="0.25">
      <c r="A37" s="103">
        <v>33</v>
      </c>
      <c r="B37" s="191" t="s">
        <v>209</v>
      </c>
      <c r="C37" s="96" t="s">
        <v>5</v>
      </c>
      <c r="D37" s="96">
        <v>46.14</v>
      </c>
      <c r="E37" s="96"/>
      <c r="F37" s="96"/>
      <c r="G37" s="96"/>
      <c r="H37" s="96"/>
      <c r="I37" s="96"/>
      <c r="J37" s="98">
        <f>SUM(G37:I37)</f>
        <v>0</v>
      </c>
    </row>
    <row r="38" spans="1:10" ht="18" x14ac:dyDescent="0.25">
      <c r="A38" s="103">
        <v>34</v>
      </c>
      <c r="B38" s="190" t="s">
        <v>195</v>
      </c>
      <c r="C38" s="93" t="s">
        <v>5</v>
      </c>
      <c r="D38" s="93">
        <v>46.21</v>
      </c>
      <c r="E38" s="93"/>
      <c r="F38" s="93"/>
      <c r="G38" s="93"/>
      <c r="H38" s="93"/>
      <c r="I38" s="93"/>
      <c r="J38" s="98">
        <f>SUM(G38:I38)</f>
        <v>0</v>
      </c>
    </row>
    <row r="39" spans="1:10" ht="18" x14ac:dyDescent="0.25">
      <c r="A39" s="103">
        <v>35</v>
      </c>
      <c r="B39" s="194" t="s">
        <v>188</v>
      </c>
      <c r="C39" s="93">
        <v>5</v>
      </c>
      <c r="D39" s="93">
        <v>46.42</v>
      </c>
      <c r="E39" s="179"/>
      <c r="F39" s="179"/>
      <c r="G39" s="179"/>
      <c r="H39" s="179"/>
      <c r="I39" s="179"/>
      <c r="J39" s="98">
        <f>SUM(G39:I39)</f>
        <v>0</v>
      </c>
    </row>
    <row r="40" spans="1:10" ht="18" x14ac:dyDescent="0.25">
      <c r="A40" s="103">
        <v>36</v>
      </c>
      <c r="B40" s="190" t="s">
        <v>197</v>
      </c>
      <c r="C40" s="93">
        <v>22.5</v>
      </c>
      <c r="D40" s="93">
        <v>46.43</v>
      </c>
      <c r="E40" s="93"/>
      <c r="F40" s="93"/>
      <c r="G40" s="93"/>
      <c r="H40" s="93"/>
      <c r="I40" s="93"/>
      <c r="J40" s="98">
        <f>SUM(G40:I40)</f>
        <v>0</v>
      </c>
    </row>
    <row r="41" spans="1:10" ht="18" x14ac:dyDescent="0.25">
      <c r="A41" s="103">
        <v>37</v>
      </c>
      <c r="B41" s="182" t="s">
        <v>208</v>
      </c>
      <c r="C41" s="185"/>
      <c r="D41" s="185">
        <v>47.06</v>
      </c>
      <c r="E41" s="180"/>
      <c r="F41" s="180"/>
      <c r="G41" s="180"/>
      <c r="H41" s="180"/>
      <c r="I41" s="180"/>
      <c r="J41" s="98">
        <f>SUM(G41:I41)</f>
        <v>0</v>
      </c>
    </row>
    <row r="42" spans="1:10" ht="18" x14ac:dyDescent="0.25">
      <c r="A42" s="103">
        <v>38</v>
      </c>
      <c r="B42" s="190" t="s">
        <v>190</v>
      </c>
      <c r="C42" s="93" t="s">
        <v>5</v>
      </c>
      <c r="D42" s="93">
        <v>48.15</v>
      </c>
      <c r="E42" s="179"/>
      <c r="F42" s="179"/>
      <c r="G42" s="179"/>
      <c r="H42" s="179"/>
      <c r="I42" s="179"/>
      <c r="J42" s="98">
        <f>SUM(G42:I42)</f>
        <v>0</v>
      </c>
    </row>
    <row r="43" spans="1:10" ht="18.75" thickBot="1" x14ac:dyDescent="0.3">
      <c r="A43" s="120">
        <v>39</v>
      </c>
      <c r="B43" s="191" t="s">
        <v>204</v>
      </c>
      <c r="C43" s="179">
        <v>15</v>
      </c>
      <c r="D43" s="179">
        <v>50.32</v>
      </c>
      <c r="E43" s="185"/>
      <c r="F43" s="185"/>
      <c r="G43" s="185"/>
      <c r="H43" s="185"/>
      <c r="I43" s="185"/>
      <c r="J43" s="98">
        <f>SUM(G43:I43)</f>
        <v>0</v>
      </c>
    </row>
  </sheetData>
  <autoFilter ref="A1:J37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sortState ref="B7:J9">
    <sortCondition descending="1" ref="J7:J9"/>
  </sortState>
  <mergeCells count="8">
    <mergeCell ref="A1:J2"/>
    <mergeCell ref="A3:A4"/>
    <mergeCell ref="B3:B4"/>
    <mergeCell ref="E3:F3"/>
    <mergeCell ref="G3:I3"/>
    <mergeCell ref="J3:J4"/>
    <mergeCell ref="C3:C4"/>
    <mergeCell ref="D3:D4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opLeftCell="A4" zoomScale="80" zoomScaleNormal="80" workbookViewId="0">
      <selection activeCell="B30" sqref="B30"/>
    </sheetView>
  </sheetViews>
  <sheetFormatPr defaultRowHeight="15" x14ac:dyDescent="0.25"/>
  <cols>
    <col min="1" max="1" width="5.140625" customWidth="1"/>
    <col min="2" max="2" width="27" customWidth="1"/>
    <col min="3" max="3" width="7.7109375" customWidth="1"/>
  </cols>
  <sheetData>
    <row r="1" spans="1:9" x14ac:dyDescent="0.25">
      <c r="A1" s="167" t="s">
        <v>35</v>
      </c>
      <c r="B1" s="168"/>
      <c r="C1" s="168"/>
      <c r="D1" s="168"/>
      <c r="E1" s="168"/>
      <c r="F1" s="168"/>
      <c r="G1" s="168"/>
      <c r="H1" s="168"/>
      <c r="I1" s="169"/>
    </row>
    <row r="2" spans="1:9" ht="15.75" thickBot="1" x14ac:dyDescent="0.3">
      <c r="A2" s="170"/>
      <c r="B2" s="158"/>
      <c r="C2" s="158"/>
      <c r="D2" s="158"/>
      <c r="E2" s="158"/>
      <c r="F2" s="158"/>
      <c r="G2" s="158"/>
      <c r="H2" s="158"/>
      <c r="I2" s="171"/>
    </row>
    <row r="3" spans="1:9" ht="16.5" thickBot="1" x14ac:dyDescent="0.3">
      <c r="A3" s="159"/>
      <c r="B3" s="161" t="s">
        <v>0</v>
      </c>
      <c r="C3" s="1" t="s">
        <v>1</v>
      </c>
      <c r="D3" s="163"/>
      <c r="E3" s="163"/>
      <c r="F3" s="164" t="s">
        <v>2</v>
      </c>
      <c r="G3" s="164"/>
      <c r="H3" s="164"/>
      <c r="I3" s="165" t="s">
        <v>3</v>
      </c>
    </row>
    <row r="4" spans="1:9" ht="15.75" x14ac:dyDescent="0.25">
      <c r="A4" s="160"/>
      <c r="B4" s="162"/>
      <c r="C4" s="49" t="s">
        <v>4</v>
      </c>
      <c r="D4" s="47">
        <v>1</v>
      </c>
      <c r="E4" s="4">
        <v>2</v>
      </c>
      <c r="F4" s="5">
        <v>0</v>
      </c>
      <c r="G4" s="6">
        <v>1</v>
      </c>
      <c r="H4" s="7">
        <v>2</v>
      </c>
      <c r="I4" s="166"/>
    </row>
    <row r="5" spans="1:9" ht="15.75" x14ac:dyDescent="0.25">
      <c r="A5" s="13">
        <v>1</v>
      </c>
      <c r="B5" s="42" t="s">
        <v>51</v>
      </c>
      <c r="C5" s="17" t="s">
        <v>5</v>
      </c>
      <c r="D5" s="39">
        <v>2</v>
      </c>
      <c r="E5" s="62">
        <v>2</v>
      </c>
      <c r="F5" s="17"/>
      <c r="G5" s="39">
        <f>16+0.7</f>
        <v>16.7</v>
      </c>
      <c r="H5" s="16">
        <f>16+2.1+0.5</f>
        <v>18.600000000000001</v>
      </c>
      <c r="I5" s="18">
        <f t="shared" ref="I5:I36" si="0">SUM(F5:H5)</f>
        <v>35.299999999999997</v>
      </c>
    </row>
    <row r="6" spans="1:9" ht="15.75" x14ac:dyDescent="0.25">
      <c r="A6" s="13">
        <v>2</v>
      </c>
      <c r="B6" s="41" t="s">
        <v>47</v>
      </c>
      <c r="C6" s="17" t="s">
        <v>5</v>
      </c>
      <c r="D6" s="39">
        <v>4</v>
      </c>
      <c r="E6" s="62">
        <v>5</v>
      </c>
      <c r="F6" s="17"/>
      <c r="G6" s="39">
        <f>14+0.7-2+2.5</f>
        <v>15.2</v>
      </c>
      <c r="H6" s="16">
        <f>13+4.2</f>
        <v>17.2</v>
      </c>
      <c r="I6" s="18">
        <f t="shared" si="0"/>
        <v>32.4</v>
      </c>
    </row>
    <row r="7" spans="1:9" ht="15.75" x14ac:dyDescent="0.25">
      <c r="A7" s="13">
        <v>3</v>
      </c>
      <c r="B7" s="42" t="s">
        <v>48</v>
      </c>
      <c r="C7" s="17">
        <v>15</v>
      </c>
      <c r="D7" s="39">
        <v>6</v>
      </c>
      <c r="E7" s="62">
        <v>1</v>
      </c>
      <c r="F7" s="17">
        <v>0.5</v>
      </c>
      <c r="G7" s="39">
        <f>12.5+0.7</f>
        <v>13.2</v>
      </c>
      <c r="H7" s="16">
        <f>17+0.7</f>
        <v>17.7</v>
      </c>
      <c r="I7" s="18">
        <f t="shared" si="0"/>
        <v>31.4</v>
      </c>
    </row>
    <row r="8" spans="1:9" ht="15.75" x14ac:dyDescent="0.25">
      <c r="A8" s="13">
        <v>4</v>
      </c>
      <c r="B8" s="41" t="s">
        <v>44</v>
      </c>
      <c r="C8" s="17">
        <v>4</v>
      </c>
      <c r="D8" s="39">
        <v>1</v>
      </c>
      <c r="E8" s="62">
        <v>7</v>
      </c>
      <c r="F8" s="17"/>
      <c r="G8" s="39">
        <f>17+0.7+1</f>
        <v>18.7</v>
      </c>
      <c r="H8" s="16">
        <f>12</f>
        <v>12</v>
      </c>
      <c r="I8" s="18">
        <f t="shared" si="0"/>
        <v>30.7</v>
      </c>
    </row>
    <row r="9" spans="1:9" ht="18.75" x14ac:dyDescent="0.3">
      <c r="A9" s="13">
        <v>5</v>
      </c>
      <c r="B9" s="43" t="s">
        <v>55</v>
      </c>
      <c r="C9" s="51" t="s">
        <v>5</v>
      </c>
      <c r="D9" s="39">
        <v>5</v>
      </c>
      <c r="E9" s="62">
        <v>10</v>
      </c>
      <c r="F9" s="17"/>
      <c r="G9" s="39">
        <f>13+0.7+0.5</f>
        <v>14.2</v>
      </c>
      <c r="H9" s="16">
        <f>10.5+2</f>
        <v>12.5</v>
      </c>
      <c r="I9" s="18">
        <f t="shared" si="0"/>
        <v>26.7</v>
      </c>
    </row>
    <row r="10" spans="1:9" ht="15.75" x14ac:dyDescent="0.25">
      <c r="A10" s="13">
        <v>6</v>
      </c>
      <c r="B10" s="42" t="s">
        <v>7</v>
      </c>
      <c r="C10" s="17" t="s">
        <v>5</v>
      </c>
      <c r="D10" s="39">
        <v>11</v>
      </c>
      <c r="E10" s="62">
        <v>11</v>
      </c>
      <c r="F10" s="17">
        <v>2</v>
      </c>
      <c r="G10" s="39">
        <f>10+1.5</f>
        <v>11.5</v>
      </c>
      <c r="H10" s="16">
        <f>10+2.5</f>
        <v>12.5</v>
      </c>
      <c r="I10" s="18">
        <f t="shared" si="0"/>
        <v>26</v>
      </c>
    </row>
    <row r="11" spans="1:9" ht="15.75" x14ac:dyDescent="0.25">
      <c r="A11" s="13">
        <v>7</v>
      </c>
      <c r="B11" s="45" t="s">
        <v>36</v>
      </c>
      <c r="C11" s="17">
        <v>16</v>
      </c>
      <c r="D11" s="61">
        <v>8</v>
      </c>
      <c r="E11" s="63">
        <v>4</v>
      </c>
      <c r="F11" s="64">
        <v>2.5</v>
      </c>
      <c r="G11" s="61">
        <f>11.5+2.1-2</f>
        <v>11.6</v>
      </c>
      <c r="H11" s="38">
        <f>8+3</f>
        <v>11</v>
      </c>
      <c r="I11" s="18">
        <f t="shared" si="0"/>
        <v>25.1</v>
      </c>
    </row>
    <row r="12" spans="1:9" ht="15.75" x14ac:dyDescent="0.25">
      <c r="A12" s="13">
        <v>8</v>
      </c>
      <c r="B12" s="42" t="s">
        <v>38</v>
      </c>
      <c r="C12" s="17" t="s">
        <v>5</v>
      </c>
      <c r="D12" s="39">
        <v>9</v>
      </c>
      <c r="E12" s="62">
        <v>8</v>
      </c>
      <c r="F12" s="17">
        <v>1</v>
      </c>
      <c r="G12" s="39">
        <f>11</f>
        <v>11</v>
      </c>
      <c r="H12" s="16">
        <f>11.5</f>
        <v>11.5</v>
      </c>
      <c r="I12" s="18">
        <f t="shared" si="0"/>
        <v>23.5</v>
      </c>
    </row>
    <row r="13" spans="1:9" ht="15.75" x14ac:dyDescent="0.25">
      <c r="A13" s="13">
        <v>9</v>
      </c>
      <c r="B13" s="41" t="s">
        <v>53</v>
      </c>
      <c r="C13" s="17" t="s">
        <v>5</v>
      </c>
      <c r="D13" s="39">
        <v>10</v>
      </c>
      <c r="E13" s="62">
        <v>2</v>
      </c>
      <c r="F13" s="60">
        <v>1.5</v>
      </c>
      <c r="G13" s="39">
        <f>10.5-1</f>
        <v>9.5</v>
      </c>
      <c r="H13" s="16">
        <f>10+1</f>
        <v>11</v>
      </c>
      <c r="I13" s="18">
        <f t="shared" si="0"/>
        <v>22</v>
      </c>
    </row>
    <row r="14" spans="1:9" ht="15.75" x14ac:dyDescent="0.25">
      <c r="A14" s="13">
        <v>10</v>
      </c>
      <c r="B14" s="42" t="s">
        <v>9</v>
      </c>
      <c r="C14" s="17" t="s">
        <v>5</v>
      </c>
      <c r="D14" s="39">
        <v>7</v>
      </c>
      <c r="E14" s="62">
        <v>4</v>
      </c>
      <c r="F14" s="17"/>
      <c r="G14" s="39">
        <f>6+1</f>
        <v>7</v>
      </c>
      <c r="H14" s="16">
        <f>14+1.4-2+1.5</f>
        <v>14.9</v>
      </c>
      <c r="I14" s="18">
        <f t="shared" si="0"/>
        <v>21.9</v>
      </c>
    </row>
    <row r="15" spans="1:9" ht="15.75" x14ac:dyDescent="0.25">
      <c r="A15" s="13">
        <v>11</v>
      </c>
      <c r="B15" s="42" t="s">
        <v>19</v>
      </c>
      <c r="C15" s="17">
        <v>9</v>
      </c>
      <c r="D15" s="39">
        <v>3</v>
      </c>
      <c r="E15" s="62">
        <v>9</v>
      </c>
      <c r="F15" s="17"/>
      <c r="G15" s="39">
        <f>9+1.5</f>
        <v>10.5</v>
      </c>
      <c r="H15" s="16">
        <f>11</f>
        <v>11</v>
      </c>
      <c r="I15" s="18">
        <f t="shared" si="0"/>
        <v>21.5</v>
      </c>
    </row>
    <row r="16" spans="1:9" ht="15.75" x14ac:dyDescent="0.25">
      <c r="A16" s="13">
        <v>12</v>
      </c>
      <c r="B16" s="41" t="s">
        <v>41</v>
      </c>
      <c r="C16" s="17" t="s">
        <v>5</v>
      </c>
      <c r="D16" s="39">
        <v>5</v>
      </c>
      <c r="E16" s="62">
        <v>6</v>
      </c>
      <c r="F16" s="17"/>
      <c r="G16" s="39">
        <f>7+1</f>
        <v>8</v>
      </c>
      <c r="H16" s="16">
        <f>12.5</f>
        <v>12.5</v>
      </c>
      <c r="I16" s="18">
        <f t="shared" si="0"/>
        <v>20.5</v>
      </c>
    </row>
    <row r="17" spans="1:9" ht="15.75" x14ac:dyDescent="0.25">
      <c r="A17" s="13">
        <v>13</v>
      </c>
      <c r="B17" s="41" t="s">
        <v>18</v>
      </c>
      <c r="C17" s="17">
        <v>2</v>
      </c>
      <c r="D17" s="39">
        <v>2</v>
      </c>
      <c r="E17" s="62">
        <v>5</v>
      </c>
      <c r="F17" s="17"/>
      <c r="G17" s="39">
        <f>10+1.5</f>
        <v>11.5</v>
      </c>
      <c r="H17" s="16">
        <f>7+2</f>
        <v>9</v>
      </c>
      <c r="I17" s="18">
        <f t="shared" si="0"/>
        <v>20.5</v>
      </c>
    </row>
    <row r="18" spans="1:9" ht="15.75" x14ac:dyDescent="0.25">
      <c r="A18" s="13">
        <v>14</v>
      </c>
      <c r="B18" s="42" t="s">
        <v>49</v>
      </c>
      <c r="C18" s="17">
        <v>11</v>
      </c>
      <c r="D18" s="39">
        <v>4</v>
      </c>
      <c r="E18" s="62">
        <v>1</v>
      </c>
      <c r="F18" s="17"/>
      <c r="G18" s="39">
        <f>8</f>
        <v>8</v>
      </c>
      <c r="H18" s="16">
        <f>11+2-2</f>
        <v>11</v>
      </c>
      <c r="I18" s="18">
        <f t="shared" si="0"/>
        <v>19</v>
      </c>
    </row>
    <row r="19" spans="1:9" ht="18" x14ac:dyDescent="0.25">
      <c r="A19" s="13">
        <v>15</v>
      </c>
      <c r="B19" s="43" t="s">
        <v>54</v>
      </c>
      <c r="C19" s="50">
        <v>5</v>
      </c>
      <c r="D19" s="39">
        <v>7</v>
      </c>
      <c r="E19" s="62">
        <v>8</v>
      </c>
      <c r="F19" s="17"/>
      <c r="G19" s="39">
        <f>12</f>
        <v>12</v>
      </c>
      <c r="H19" s="16">
        <f>5.5+1</f>
        <v>6.5</v>
      </c>
      <c r="I19" s="18">
        <f t="shared" si="0"/>
        <v>18.5</v>
      </c>
    </row>
    <row r="20" spans="1:9" ht="15.75" x14ac:dyDescent="0.25">
      <c r="A20" s="13">
        <v>16</v>
      </c>
      <c r="B20" s="42" t="s">
        <v>20</v>
      </c>
      <c r="C20" s="17" t="s">
        <v>5</v>
      </c>
      <c r="D20" s="39">
        <v>6</v>
      </c>
      <c r="E20" s="62">
        <v>3</v>
      </c>
      <c r="F20" s="17"/>
      <c r="G20" s="39">
        <f>6.5+2</f>
        <v>8.5</v>
      </c>
      <c r="H20" s="16">
        <f>9-2</f>
        <v>7</v>
      </c>
      <c r="I20" s="18">
        <f t="shared" si="0"/>
        <v>15.5</v>
      </c>
    </row>
    <row r="21" spans="1:9" ht="18.75" x14ac:dyDescent="0.3">
      <c r="A21" s="13">
        <v>17</v>
      </c>
      <c r="B21" s="69" t="s">
        <v>15</v>
      </c>
      <c r="C21" s="51">
        <v>5</v>
      </c>
      <c r="D21" s="39">
        <v>8</v>
      </c>
      <c r="E21" s="62">
        <v>2</v>
      </c>
      <c r="F21" s="17"/>
      <c r="G21" s="39">
        <f>5.5</f>
        <v>5.5</v>
      </c>
      <c r="H21" s="16">
        <f>4.5+4</f>
        <v>8.5</v>
      </c>
      <c r="I21" s="18">
        <f t="shared" si="0"/>
        <v>14</v>
      </c>
    </row>
    <row r="22" spans="1:9" ht="15.75" x14ac:dyDescent="0.25">
      <c r="A22" s="13">
        <v>18</v>
      </c>
      <c r="B22" s="44" t="s">
        <v>31</v>
      </c>
      <c r="C22" s="17">
        <v>7</v>
      </c>
      <c r="D22" s="39">
        <v>1</v>
      </c>
      <c r="E22" s="62">
        <v>10</v>
      </c>
      <c r="F22" s="17"/>
      <c r="G22" s="39">
        <f>11</f>
        <v>11</v>
      </c>
      <c r="H22" s="16">
        <f>4.5-2</f>
        <v>2.5</v>
      </c>
      <c r="I22" s="18">
        <f t="shared" si="0"/>
        <v>13.5</v>
      </c>
    </row>
    <row r="23" spans="1:9" ht="15.75" x14ac:dyDescent="0.25">
      <c r="A23" s="13">
        <v>19</v>
      </c>
      <c r="B23" s="41" t="s">
        <v>50</v>
      </c>
      <c r="C23" s="17">
        <v>10</v>
      </c>
      <c r="D23" s="39">
        <v>2</v>
      </c>
      <c r="E23" s="62">
        <v>1</v>
      </c>
      <c r="F23" s="17"/>
      <c r="G23" s="39">
        <f>4.5+0.5</f>
        <v>5</v>
      </c>
      <c r="H23" s="16">
        <f>5.5+1</f>
        <v>6.5</v>
      </c>
      <c r="I23" s="18">
        <f t="shared" si="0"/>
        <v>11.5</v>
      </c>
    </row>
    <row r="24" spans="1:9" ht="15.75" x14ac:dyDescent="0.25">
      <c r="A24" s="13">
        <v>20</v>
      </c>
      <c r="B24" s="65" t="s">
        <v>42</v>
      </c>
      <c r="C24" s="17">
        <v>9</v>
      </c>
      <c r="D24" s="39">
        <v>1</v>
      </c>
      <c r="E24" s="62">
        <v>9</v>
      </c>
      <c r="F24" s="17"/>
      <c r="G24" s="39">
        <f>5.5+2.5</f>
        <v>8</v>
      </c>
      <c r="H24" s="16">
        <f>5-2</f>
        <v>3</v>
      </c>
      <c r="I24" s="18">
        <f t="shared" si="0"/>
        <v>11</v>
      </c>
    </row>
    <row r="25" spans="1:9" ht="15.75" x14ac:dyDescent="0.25">
      <c r="A25" s="13">
        <v>21</v>
      </c>
      <c r="B25" s="42" t="s">
        <v>40</v>
      </c>
      <c r="C25" s="17">
        <v>22</v>
      </c>
      <c r="D25" s="39">
        <v>10</v>
      </c>
      <c r="E25" s="62">
        <v>7</v>
      </c>
      <c r="F25" s="17"/>
      <c r="G25" s="39">
        <f>4.5</f>
        <v>4.5</v>
      </c>
      <c r="H25" s="16">
        <f>6</f>
        <v>6</v>
      </c>
      <c r="I25" s="18">
        <f t="shared" si="0"/>
        <v>10.5</v>
      </c>
    </row>
    <row r="26" spans="1:9" ht="15.75" x14ac:dyDescent="0.25">
      <c r="A26" s="13">
        <v>22</v>
      </c>
      <c r="B26" s="42" t="s">
        <v>14</v>
      </c>
      <c r="C26" s="17">
        <v>7</v>
      </c>
      <c r="D26" s="39">
        <v>9</v>
      </c>
      <c r="E26" s="62">
        <v>6</v>
      </c>
      <c r="F26" s="17"/>
      <c r="G26" s="39">
        <f>5-2</f>
        <v>3</v>
      </c>
      <c r="H26" s="16">
        <f>6.5</f>
        <v>6.5</v>
      </c>
      <c r="I26" s="18">
        <f t="shared" si="0"/>
        <v>9.5</v>
      </c>
    </row>
    <row r="27" spans="1:9" ht="15.75" x14ac:dyDescent="0.25">
      <c r="A27" s="13">
        <v>23</v>
      </c>
      <c r="B27" s="42" t="s">
        <v>52</v>
      </c>
      <c r="C27" s="17">
        <v>15</v>
      </c>
      <c r="D27" s="39">
        <v>3</v>
      </c>
      <c r="E27" s="62">
        <v>5</v>
      </c>
      <c r="F27" s="17"/>
      <c r="G27" s="39">
        <f>3.5+3.5</f>
        <v>7</v>
      </c>
      <c r="H27" s="16">
        <f>1.5</f>
        <v>1.5</v>
      </c>
      <c r="I27" s="18">
        <f t="shared" si="0"/>
        <v>8.5</v>
      </c>
    </row>
    <row r="28" spans="1:9" ht="15.75" x14ac:dyDescent="0.25">
      <c r="A28" s="13">
        <v>24</v>
      </c>
      <c r="B28" s="45" t="s">
        <v>39</v>
      </c>
      <c r="C28" s="17" t="s">
        <v>5</v>
      </c>
      <c r="D28" s="39">
        <v>5</v>
      </c>
      <c r="E28" s="62">
        <v>3</v>
      </c>
      <c r="F28" s="17"/>
      <c r="G28" s="39">
        <f>1.5</f>
        <v>1.5</v>
      </c>
      <c r="H28" s="16">
        <f>3.5+1</f>
        <v>4.5</v>
      </c>
      <c r="I28" s="18">
        <f t="shared" si="0"/>
        <v>6</v>
      </c>
    </row>
    <row r="29" spans="1:9" ht="15.75" x14ac:dyDescent="0.25">
      <c r="A29" s="13">
        <v>25</v>
      </c>
      <c r="B29" s="42" t="s">
        <v>45</v>
      </c>
      <c r="C29" s="17">
        <v>26</v>
      </c>
      <c r="D29" s="61">
        <v>4</v>
      </c>
      <c r="E29" s="63">
        <v>8</v>
      </c>
      <c r="F29" s="64"/>
      <c r="G29" s="61">
        <f>2.5+2.5</f>
        <v>5</v>
      </c>
      <c r="H29" s="38">
        <f>0</f>
        <v>0</v>
      </c>
      <c r="I29" s="18">
        <f t="shared" si="0"/>
        <v>5</v>
      </c>
    </row>
    <row r="30" spans="1:9" ht="15.75" x14ac:dyDescent="0.25">
      <c r="A30" s="13">
        <v>26</v>
      </c>
      <c r="B30" s="42" t="s">
        <v>26</v>
      </c>
      <c r="C30" s="17">
        <v>4</v>
      </c>
      <c r="D30" s="39">
        <v>8</v>
      </c>
      <c r="E30" s="62">
        <v>6</v>
      </c>
      <c r="F30" s="17"/>
      <c r="G30" s="39">
        <f>0</f>
        <v>0</v>
      </c>
      <c r="H30" s="16">
        <f>1</f>
        <v>1</v>
      </c>
      <c r="I30" s="18">
        <f t="shared" si="0"/>
        <v>1</v>
      </c>
    </row>
    <row r="31" spans="1:9" ht="18" x14ac:dyDescent="0.25">
      <c r="A31" s="54">
        <v>27</v>
      </c>
      <c r="B31" s="42" t="s">
        <v>37</v>
      </c>
      <c r="C31" s="17">
        <v>8</v>
      </c>
      <c r="D31" s="39">
        <v>9</v>
      </c>
      <c r="E31" s="62">
        <v>4</v>
      </c>
      <c r="F31" s="17"/>
      <c r="G31" s="39">
        <f>0</f>
        <v>0</v>
      </c>
      <c r="H31" s="16">
        <f>2.5+2.5-1-3</f>
        <v>1</v>
      </c>
      <c r="I31" s="55">
        <f t="shared" si="0"/>
        <v>1</v>
      </c>
    </row>
    <row r="32" spans="1:9" ht="18" hidden="1" x14ac:dyDescent="0.25">
      <c r="A32" s="54">
        <v>29</v>
      </c>
      <c r="B32" s="43"/>
      <c r="C32" s="50"/>
      <c r="D32" s="39"/>
      <c r="E32" s="62"/>
      <c r="F32" s="17"/>
      <c r="G32" s="39"/>
      <c r="H32" s="16"/>
      <c r="I32" s="55">
        <f t="shared" si="0"/>
        <v>0</v>
      </c>
    </row>
    <row r="33" spans="1:9" ht="18" hidden="1" x14ac:dyDescent="0.25">
      <c r="A33" s="54">
        <v>30</v>
      </c>
      <c r="B33" s="43"/>
      <c r="C33" s="50"/>
      <c r="D33" s="39"/>
      <c r="E33" s="62"/>
      <c r="F33" s="17"/>
      <c r="G33" s="39"/>
      <c r="H33" s="16"/>
      <c r="I33" s="55">
        <f t="shared" si="0"/>
        <v>0</v>
      </c>
    </row>
    <row r="34" spans="1:9" ht="18.75" x14ac:dyDescent="0.3">
      <c r="A34" s="56">
        <v>28</v>
      </c>
      <c r="B34" s="43" t="s">
        <v>56</v>
      </c>
      <c r="C34" s="51" t="s">
        <v>5</v>
      </c>
      <c r="D34" s="39">
        <v>6</v>
      </c>
      <c r="E34" s="62">
        <v>9</v>
      </c>
      <c r="F34" s="17"/>
      <c r="G34" s="39">
        <f>1</f>
        <v>1</v>
      </c>
      <c r="H34" s="16">
        <f>0</f>
        <v>0</v>
      </c>
      <c r="I34" s="55">
        <f t="shared" si="0"/>
        <v>1</v>
      </c>
    </row>
    <row r="35" spans="1:9" ht="18.75" x14ac:dyDescent="0.3">
      <c r="A35" s="57">
        <v>29</v>
      </c>
      <c r="B35" s="46" t="s">
        <v>46</v>
      </c>
      <c r="C35" s="17" t="s">
        <v>5</v>
      </c>
      <c r="D35" s="61">
        <v>10</v>
      </c>
      <c r="E35" s="63">
        <v>10</v>
      </c>
      <c r="F35" s="64"/>
      <c r="G35" s="61">
        <f>0</f>
        <v>0</v>
      </c>
      <c r="H35" s="38">
        <f>0</f>
        <v>0</v>
      </c>
      <c r="I35" s="55">
        <f t="shared" si="0"/>
        <v>0</v>
      </c>
    </row>
    <row r="36" spans="1:9" ht="19.5" thickBot="1" x14ac:dyDescent="0.35">
      <c r="A36" s="58">
        <v>30</v>
      </c>
      <c r="B36" s="66" t="s">
        <v>43</v>
      </c>
      <c r="C36" s="24" t="s">
        <v>5</v>
      </c>
      <c r="D36" s="67">
        <v>7</v>
      </c>
      <c r="E36" s="68">
        <v>7</v>
      </c>
      <c r="F36" s="24"/>
      <c r="G36" s="67">
        <f>0.5+0.5-2</f>
        <v>-1</v>
      </c>
      <c r="H36" s="23">
        <f>0.5</f>
        <v>0.5</v>
      </c>
      <c r="I36" s="59">
        <f t="shared" si="0"/>
        <v>-0.5</v>
      </c>
    </row>
    <row r="37" spans="1:9" ht="18.75" x14ac:dyDescent="0.3">
      <c r="A37" s="52">
        <v>32</v>
      </c>
      <c r="B37" s="40"/>
      <c r="C37" s="48"/>
      <c r="D37" s="53"/>
      <c r="E37" s="53"/>
      <c r="F37" s="53"/>
      <c r="G37" s="53"/>
      <c r="H37" s="53"/>
      <c r="I37" s="31">
        <f t="shared" ref="I37" si="1">SUM(F37:H37)</f>
        <v>0</v>
      </c>
    </row>
    <row r="38" spans="1:9" ht="15.75" x14ac:dyDescent="0.25">
      <c r="A38" s="36">
        <v>33</v>
      </c>
      <c r="B38" s="36"/>
      <c r="C38" s="36"/>
      <c r="D38" s="36"/>
      <c r="E38" s="36"/>
      <c r="F38" s="36"/>
      <c r="G38" s="36"/>
      <c r="H38" s="36"/>
      <c r="I38" s="36"/>
    </row>
    <row r="39" spans="1:9" ht="15.75" x14ac:dyDescent="0.25">
      <c r="A39" s="37">
        <v>34</v>
      </c>
      <c r="B39" s="35"/>
      <c r="C39" s="35"/>
      <c r="D39" s="35"/>
      <c r="E39" s="35"/>
      <c r="F39" s="35"/>
      <c r="G39" s="35"/>
      <c r="H39" s="35"/>
      <c r="I39" s="35"/>
    </row>
    <row r="40" spans="1:9" ht="15.75" x14ac:dyDescent="0.25">
      <c r="A40" s="37">
        <v>35</v>
      </c>
      <c r="B40" s="35"/>
      <c r="C40" s="35"/>
      <c r="D40" s="35"/>
      <c r="E40" s="35"/>
      <c r="F40" s="35"/>
      <c r="G40" s="35"/>
      <c r="H40" s="35"/>
      <c r="I40" s="35"/>
    </row>
    <row r="41" spans="1:9" x14ac:dyDescent="0.25">
      <c r="A41" s="35"/>
      <c r="B41" s="35"/>
      <c r="C41" s="35"/>
      <c r="D41" s="35"/>
      <c r="E41" s="35"/>
      <c r="F41" s="35"/>
      <c r="G41" s="35"/>
      <c r="H41" s="35"/>
      <c r="I41" s="35"/>
    </row>
    <row r="42" spans="1:9" x14ac:dyDescent="0.25">
      <c r="A42" s="35"/>
      <c r="B42" s="35"/>
      <c r="C42" s="35"/>
      <c r="D42" s="35"/>
      <c r="E42" s="35"/>
      <c r="F42" s="35"/>
      <c r="G42" s="35"/>
      <c r="H42" s="35"/>
      <c r="I42" s="35"/>
    </row>
  </sheetData>
  <sortState ref="B5:I36">
    <sortCondition descending="1" ref="I5:I36"/>
  </sortState>
  <mergeCells count="6">
    <mergeCell ref="A1:I2"/>
    <mergeCell ref="A3:A4"/>
    <mergeCell ref="B3:B4"/>
    <mergeCell ref="D3:E3"/>
    <mergeCell ref="F3:H3"/>
    <mergeCell ref="I3:I4"/>
  </mergeCells>
  <pageMargins left="0.70866141732283472" right="0.70866141732283472" top="0.74803149606299213" bottom="0.74803149606299213" header="0.31496062992125984" footer="0.31496062992125984"/>
  <pageSetup paperSize="9" scale="91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zoomScale="60" zoomScaleNormal="60" workbookViewId="0">
      <selection activeCell="M16" sqref="M16"/>
    </sheetView>
  </sheetViews>
  <sheetFormatPr defaultRowHeight="15" x14ac:dyDescent="0.25"/>
  <cols>
    <col min="1" max="1" width="5.140625" customWidth="1"/>
    <col min="2" max="2" width="52.5703125" customWidth="1"/>
    <col min="3" max="3" width="7.7109375" customWidth="1"/>
  </cols>
  <sheetData>
    <row r="1" spans="1:9" x14ac:dyDescent="0.25">
      <c r="A1" s="167" t="s">
        <v>89</v>
      </c>
      <c r="B1" s="168"/>
      <c r="C1" s="168"/>
      <c r="D1" s="168"/>
      <c r="E1" s="168"/>
      <c r="F1" s="168"/>
      <c r="G1" s="168"/>
      <c r="H1" s="168"/>
      <c r="I1" s="169"/>
    </row>
    <row r="2" spans="1:9" ht="15.75" thickBot="1" x14ac:dyDescent="0.3">
      <c r="A2" s="170"/>
      <c r="B2" s="158"/>
      <c r="C2" s="158"/>
      <c r="D2" s="158"/>
      <c r="E2" s="158"/>
      <c r="F2" s="158"/>
      <c r="G2" s="158"/>
      <c r="H2" s="158"/>
      <c r="I2" s="171"/>
    </row>
    <row r="3" spans="1:9" ht="16.5" thickBot="1" x14ac:dyDescent="0.3">
      <c r="A3" s="159"/>
      <c r="B3" s="161" t="s">
        <v>0</v>
      </c>
      <c r="C3" s="1" t="s">
        <v>1</v>
      </c>
      <c r="D3" s="172" t="s">
        <v>63</v>
      </c>
      <c r="E3" s="173"/>
      <c r="F3" s="164" t="s">
        <v>2</v>
      </c>
      <c r="G3" s="164"/>
      <c r="H3" s="164"/>
      <c r="I3" s="165" t="s">
        <v>3</v>
      </c>
    </row>
    <row r="4" spans="1:9" ht="16.5" thickBot="1" x14ac:dyDescent="0.3">
      <c r="A4" s="160"/>
      <c r="B4" s="162"/>
      <c r="C4" s="49" t="s">
        <v>4</v>
      </c>
      <c r="D4" s="80">
        <v>1</v>
      </c>
      <c r="E4" s="81">
        <v>2</v>
      </c>
      <c r="F4" s="82">
        <v>0</v>
      </c>
      <c r="G4" s="83">
        <v>1</v>
      </c>
      <c r="H4" s="84">
        <v>2</v>
      </c>
      <c r="I4" s="166"/>
    </row>
    <row r="5" spans="1:9" ht="18" x14ac:dyDescent="0.25">
      <c r="A5" s="54">
        <v>1</v>
      </c>
      <c r="B5" s="43" t="s">
        <v>82</v>
      </c>
      <c r="C5" s="87">
        <v>9</v>
      </c>
      <c r="D5" s="105">
        <v>5</v>
      </c>
      <c r="E5" s="107">
        <v>10</v>
      </c>
      <c r="F5" s="109">
        <v>2.5</v>
      </c>
      <c r="G5" s="105">
        <f>13+3.5+2.5</f>
        <v>19</v>
      </c>
      <c r="H5" s="102">
        <f>10.5+0.7</f>
        <v>11.2</v>
      </c>
      <c r="I5" s="89">
        <f t="shared" ref="I5:I38" si="0">SUM(F5:H5)</f>
        <v>32.700000000000003</v>
      </c>
    </row>
    <row r="6" spans="1:9" ht="18" x14ac:dyDescent="0.25">
      <c r="A6" s="54">
        <v>2</v>
      </c>
      <c r="B6" s="71" t="s">
        <v>79</v>
      </c>
      <c r="C6" s="87" t="s">
        <v>5</v>
      </c>
      <c r="D6" s="91">
        <v>3</v>
      </c>
      <c r="E6" s="92">
        <v>2</v>
      </c>
      <c r="F6" s="87"/>
      <c r="G6" s="91">
        <f>15+0.7</f>
        <v>15.7</v>
      </c>
      <c r="H6" s="93">
        <f>16+0.7</f>
        <v>16.7</v>
      </c>
      <c r="I6" s="89">
        <f t="shared" si="0"/>
        <v>32.4</v>
      </c>
    </row>
    <row r="7" spans="1:9" ht="18" x14ac:dyDescent="0.25">
      <c r="A7" s="54">
        <v>3</v>
      </c>
      <c r="B7" s="43" t="s">
        <v>73</v>
      </c>
      <c r="C7" s="87" t="s">
        <v>5</v>
      </c>
      <c r="D7" s="91">
        <v>6</v>
      </c>
      <c r="E7" s="92">
        <v>6</v>
      </c>
      <c r="F7" s="87">
        <v>1.5</v>
      </c>
      <c r="G7" s="91">
        <f>12.5+1.4+2</f>
        <v>15.9</v>
      </c>
      <c r="H7" s="93">
        <f>12.5+2.8+1-2</f>
        <v>14.3</v>
      </c>
      <c r="I7" s="89">
        <f t="shared" si="0"/>
        <v>31.7</v>
      </c>
    </row>
    <row r="8" spans="1:9" ht="18" x14ac:dyDescent="0.25">
      <c r="A8" s="54">
        <v>4</v>
      </c>
      <c r="B8" s="70" t="s">
        <v>57</v>
      </c>
      <c r="C8" s="87"/>
      <c r="D8" s="94">
        <v>1</v>
      </c>
      <c r="E8" s="95">
        <v>9</v>
      </c>
      <c r="F8" s="90"/>
      <c r="G8" s="94">
        <f>17+0.7+1</f>
        <v>18.7</v>
      </c>
      <c r="H8" s="96">
        <f>11+0.5</f>
        <v>11.5</v>
      </c>
      <c r="I8" s="89">
        <f t="shared" si="0"/>
        <v>30.2</v>
      </c>
    </row>
    <row r="9" spans="1:9" ht="18" x14ac:dyDescent="0.25">
      <c r="A9" s="54">
        <v>5</v>
      </c>
      <c r="B9" s="43" t="s">
        <v>80</v>
      </c>
      <c r="C9" s="87" t="s">
        <v>5</v>
      </c>
      <c r="D9" s="94">
        <v>4</v>
      </c>
      <c r="E9" s="95">
        <v>7</v>
      </c>
      <c r="F9" s="90">
        <v>1</v>
      </c>
      <c r="G9" s="94">
        <f>14+2.1</f>
        <v>16.100000000000001</v>
      </c>
      <c r="H9" s="96">
        <f>12</f>
        <v>12</v>
      </c>
      <c r="I9" s="89">
        <f t="shared" si="0"/>
        <v>29.1</v>
      </c>
    </row>
    <row r="10" spans="1:9" ht="18" x14ac:dyDescent="0.25">
      <c r="A10" s="54">
        <v>6</v>
      </c>
      <c r="B10" s="70" t="s">
        <v>68</v>
      </c>
      <c r="C10" s="87" t="s">
        <v>5</v>
      </c>
      <c r="D10" s="91">
        <v>7</v>
      </c>
      <c r="E10" s="92">
        <v>4</v>
      </c>
      <c r="F10" s="87"/>
      <c r="G10" s="91">
        <v>12</v>
      </c>
      <c r="H10" s="93">
        <f>14</f>
        <v>14</v>
      </c>
      <c r="I10" s="89">
        <f t="shared" si="0"/>
        <v>26</v>
      </c>
    </row>
    <row r="11" spans="1:9" ht="18" x14ac:dyDescent="0.25">
      <c r="A11" s="54">
        <v>7</v>
      </c>
      <c r="B11" s="103" t="s">
        <v>83</v>
      </c>
      <c r="C11" s="90" t="s">
        <v>5</v>
      </c>
      <c r="D11" s="94">
        <v>9</v>
      </c>
      <c r="E11" s="95">
        <v>5</v>
      </c>
      <c r="F11" s="90">
        <v>2</v>
      </c>
      <c r="G11" s="94">
        <v>11</v>
      </c>
      <c r="H11" s="96">
        <f>13</f>
        <v>13</v>
      </c>
      <c r="I11" s="89">
        <f t="shared" si="0"/>
        <v>26</v>
      </c>
    </row>
    <row r="12" spans="1:9" ht="18" x14ac:dyDescent="0.25">
      <c r="A12" s="54">
        <v>8</v>
      </c>
      <c r="B12" s="70" t="s">
        <v>41</v>
      </c>
      <c r="C12" s="87" t="s">
        <v>5</v>
      </c>
      <c r="D12" s="91">
        <v>4</v>
      </c>
      <c r="E12" s="92">
        <v>1</v>
      </c>
      <c r="F12" s="97"/>
      <c r="G12" s="91">
        <f>8.5+1-1</f>
        <v>8.5</v>
      </c>
      <c r="H12" s="93">
        <f>17</f>
        <v>17</v>
      </c>
      <c r="I12" s="89">
        <f t="shared" si="0"/>
        <v>25.5</v>
      </c>
    </row>
    <row r="13" spans="1:9" ht="18" x14ac:dyDescent="0.25">
      <c r="A13" s="54">
        <v>9</v>
      </c>
      <c r="B13" s="43" t="s">
        <v>67</v>
      </c>
      <c r="C13" s="87">
        <v>4</v>
      </c>
      <c r="D13" s="91">
        <v>8</v>
      </c>
      <c r="E13" s="92">
        <v>8</v>
      </c>
      <c r="F13" s="87">
        <v>0.5</v>
      </c>
      <c r="G13" s="91">
        <v>11.5</v>
      </c>
      <c r="H13" s="93">
        <f>6+1+2.5</f>
        <v>9.5</v>
      </c>
      <c r="I13" s="89">
        <f t="shared" si="0"/>
        <v>21.5</v>
      </c>
    </row>
    <row r="14" spans="1:9" ht="18" x14ac:dyDescent="0.25">
      <c r="A14" s="54">
        <v>10</v>
      </c>
      <c r="B14" s="77" t="s">
        <v>70</v>
      </c>
      <c r="C14" s="87">
        <v>12</v>
      </c>
      <c r="D14" s="91">
        <v>6</v>
      </c>
      <c r="E14" s="92">
        <v>1</v>
      </c>
      <c r="F14" s="87"/>
      <c r="G14" s="91">
        <v>7</v>
      </c>
      <c r="H14" s="93">
        <f>11.5+1+2</f>
        <v>14.5</v>
      </c>
      <c r="I14" s="89">
        <f t="shared" si="0"/>
        <v>21.5</v>
      </c>
    </row>
    <row r="15" spans="1:9" ht="18" x14ac:dyDescent="0.25">
      <c r="A15" s="54">
        <v>11</v>
      </c>
      <c r="B15" s="43" t="s">
        <v>53</v>
      </c>
      <c r="C15" s="87" t="s">
        <v>5</v>
      </c>
      <c r="D15" s="91">
        <v>2</v>
      </c>
      <c r="E15" s="92">
        <v>6</v>
      </c>
      <c r="F15" s="87"/>
      <c r="G15" s="91">
        <v>16</v>
      </c>
      <c r="H15" s="93">
        <f>7+0.5-2</f>
        <v>5.5</v>
      </c>
      <c r="I15" s="89">
        <f t="shared" si="0"/>
        <v>21.5</v>
      </c>
    </row>
    <row r="16" spans="1:9" ht="18" x14ac:dyDescent="0.25">
      <c r="A16" s="54">
        <v>12</v>
      </c>
      <c r="B16" s="43" t="s">
        <v>87</v>
      </c>
      <c r="C16" s="87">
        <v>13</v>
      </c>
      <c r="D16" s="91">
        <v>2</v>
      </c>
      <c r="E16" s="92">
        <v>3</v>
      </c>
      <c r="F16" s="87"/>
      <c r="G16" s="91">
        <f>10.5+1.5</f>
        <v>12</v>
      </c>
      <c r="H16" s="93">
        <f>9.5+1.5-3+1.5</f>
        <v>9.5</v>
      </c>
      <c r="I16" s="89">
        <f t="shared" si="0"/>
        <v>21.5</v>
      </c>
    </row>
    <row r="17" spans="1:9" ht="18" x14ac:dyDescent="0.25">
      <c r="A17" s="54">
        <v>13</v>
      </c>
      <c r="B17" s="43" t="s">
        <v>69</v>
      </c>
      <c r="C17" s="90" t="s">
        <v>5</v>
      </c>
      <c r="D17" s="91">
        <v>10</v>
      </c>
      <c r="E17" s="92">
        <v>4</v>
      </c>
      <c r="F17" s="87"/>
      <c r="G17" s="91">
        <v>10.5</v>
      </c>
      <c r="H17" s="93">
        <f>8.5+2</f>
        <v>10.5</v>
      </c>
      <c r="I17" s="89">
        <f t="shared" si="0"/>
        <v>21</v>
      </c>
    </row>
    <row r="18" spans="1:9" ht="18" x14ac:dyDescent="0.25">
      <c r="A18" s="54">
        <v>14</v>
      </c>
      <c r="B18" s="43" t="s">
        <v>66</v>
      </c>
      <c r="C18" s="90">
        <v>5</v>
      </c>
      <c r="D18" s="91">
        <v>1</v>
      </c>
      <c r="E18" s="92">
        <v>7</v>
      </c>
      <c r="F18" s="87"/>
      <c r="G18" s="91">
        <f>11.5+1</f>
        <v>12.5</v>
      </c>
      <c r="H18" s="93">
        <f>6.5</f>
        <v>6.5</v>
      </c>
      <c r="I18" s="89">
        <f t="shared" si="0"/>
        <v>19</v>
      </c>
    </row>
    <row r="19" spans="1:9" ht="18" x14ac:dyDescent="0.25">
      <c r="A19" s="54">
        <v>15</v>
      </c>
      <c r="B19" s="43" t="s">
        <v>76</v>
      </c>
      <c r="C19" s="87" t="s">
        <v>5</v>
      </c>
      <c r="D19" s="91">
        <v>7</v>
      </c>
      <c r="E19" s="92">
        <v>11</v>
      </c>
      <c r="F19" s="87"/>
      <c r="G19" s="91">
        <f>6.5+1.5</f>
        <v>8</v>
      </c>
      <c r="H19" s="93">
        <f>10</f>
        <v>10</v>
      </c>
      <c r="I19" s="89">
        <f t="shared" si="0"/>
        <v>18</v>
      </c>
    </row>
    <row r="20" spans="1:9" ht="18" x14ac:dyDescent="0.25">
      <c r="A20" s="54">
        <v>16</v>
      </c>
      <c r="B20" s="73" t="s">
        <v>73</v>
      </c>
      <c r="C20" s="87">
        <v>6</v>
      </c>
      <c r="D20" s="91">
        <v>11</v>
      </c>
      <c r="E20" s="92">
        <v>8</v>
      </c>
      <c r="F20" s="87"/>
      <c r="G20" s="91">
        <f>4.5+0.5</f>
        <v>5</v>
      </c>
      <c r="H20" s="93">
        <f>11.5</f>
        <v>11.5</v>
      </c>
      <c r="I20" s="89">
        <f t="shared" si="0"/>
        <v>16.5</v>
      </c>
    </row>
    <row r="21" spans="1:9" ht="18" x14ac:dyDescent="0.25">
      <c r="A21" s="54">
        <v>17</v>
      </c>
      <c r="B21" s="69" t="s">
        <v>15</v>
      </c>
      <c r="C21" s="90">
        <v>5</v>
      </c>
      <c r="D21" s="91">
        <v>2</v>
      </c>
      <c r="E21" s="92">
        <v>2</v>
      </c>
      <c r="F21" s="87"/>
      <c r="G21" s="91">
        <f>5</f>
        <v>5</v>
      </c>
      <c r="H21" s="93">
        <f>10.5</f>
        <v>10.5</v>
      </c>
      <c r="I21" s="89">
        <f t="shared" si="0"/>
        <v>15.5</v>
      </c>
    </row>
    <row r="22" spans="1:9" ht="18" x14ac:dyDescent="0.25">
      <c r="A22" s="54">
        <v>18</v>
      </c>
      <c r="B22" s="72" t="s">
        <v>84</v>
      </c>
      <c r="C22" s="87">
        <v>21</v>
      </c>
      <c r="D22" s="91">
        <v>3</v>
      </c>
      <c r="E22" s="92">
        <v>9</v>
      </c>
      <c r="F22" s="87"/>
      <c r="G22" s="91">
        <f>9.5</f>
        <v>9.5</v>
      </c>
      <c r="H22" s="93">
        <f>5.5</f>
        <v>5.5</v>
      </c>
      <c r="I22" s="89">
        <f t="shared" si="0"/>
        <v>15</v>
      </c>
    </row>
    <row r="23" spans="1:9" ht="18" x14ac:dyDescent="0.25">
      <c r="A23" s="54">
        <v>19</v>
      </c>
      <c r="B23" s="70" t="s">
        <v>72</v>
      </c>
      <c r="C23" s="87">
        <v>9</v>
      </c>
      <c r="D23" s="91">
        <v>8</v>
      </c>
      <c r="E23" s="92">
        <v>10</v>
      </c>
      <c r="F23" s="87"/>
      <c r="G23" s="91">
        <f>6+1</f>
        <v>7</v>
      </c>
      <c r="H23" s="93">
        <f>5</f>
        <v>5</v>
      </c>
      <c r="I23" s="89">
        <f t="shared" si="0"/>
        <v>12</v>
      </c>
    </row>
    <row r="24" spans="1:9" ht="18" x14ac:dyDescent="0.25">
      <c r="A24" s="54">
        <v>20</v>
      </c>
      <c r="B24" s="69" t="s">
        <v>77</v>
      </c>
      <c r="C24" s="87" t="s">
        <v>5</v>
      </c>
      <c r="D24" s="91">
        <v>9</v>
      </c>
      <c r="E24" s="92">
        <v>5</v>
      </c>
      <c r="F24" s="87"/>
      <c r="G24" s="91">
        <f>5.5-1</f>
        <v>4.5</v>
      </c>
      <c r="H24" s="93">
        <f>7.5</f>
        <v>7.5</v>
      </c>
      <c r="I24" s="89">
        <f t="shared" si="0"/>
        <v>12</v>
      </c>
    </row>
    <row r="25" spans="1:9" ht="18" x14ac:dyDescent="0.25">
      <c r="A25" s="54">
        <v>21</v>
      </c>
      <c r="B25" s="43" t="s">
        <v>81</v>
      </c>
      <c r="C25" s="87">
        <v>18</v>
      </c>
      <c r="D25" s="94">
        <v>10</v>
      </c>
      <c r="E25" s="95">
        <v>1</v>
      </c>
      <c r="F25" s="90"/>
      <c r="G25" s="94">
        <v>5</v>
      </c>
      <c r="H25" s="96">
        <f>6+0.5</f>
        <v>6.5</v>
      </c>
      <c r="I25" s="89">
        <f t="shared" si="0"/>
        <v>11.5</v>
      </c>
    </row>
    <row r="26" spans="1:9" ht="18" x14ac:dyDescent="0.25">
      <c r="A26" s="54">
        <v>22</v>
      </c>
      <c r="B26" s="43" t="s">
        <v>65</v>
      </c>
      <c r="C26" s="87">
        <v>4</v>
      </c>
      <c r="D26" s="91">
        <v>1</v>
      </c>
      <c r="E26" s="92">
        <v>6</v>
      </c>
      <c r="F26" s="87"/>
      <c r="G26" s="91">
        <f>6</f>
        <v>6</v>
      </c>
      <c r="H26" s="93">
        <f>1.5+1</f>
        <v>2.5</v>
      </c>
      <c r="I26" s="89">
        <f t="shared" si="0"/>
        <v>8.5</v>
      </c>
    </row>
    <row r="27" spans="1:9" ht="18" x14ac:dyDescent="0.25">
      <c r="A27" s="54">
        <v>23</v>
      </c>
      <c r="B27" s="70" t="s">
        <v>85</v>
      </c>
      <c r="C27" s="87" t="s">
        <v>5</v>
      </c>
      <c r="D27" s="91">
        <v>4</v>
      </c>
      <c r="E27" s="92">
        <v>3</v>
      </c>
      <c r="F27" s="87"/>
      <c r="G27" s="91">
        <f>3+0.5</f>
        <v>3.5</v>
      </c>
      <c r="H27" s="93">
        <f>4+1</f>
        <v>5</v>
      </c>
      <c r="I27" s="89">
        <f t="shared" si="0"/>
        <v>8.5</v>
      </c>
    </row>
    <row r="28" spans="1:9" ht="18" x14ac:dyDescent="0.25">
      <c r="A28" s="54">
        <v>24</v>
      </c>
      <c r="B28" s="85" t="s">
        <v>78</v>
      </c>
      <c r="C28" s="90">
        <v>10</v>
      </c>
      <c r="D28" s="94">
        <v>10</v>
      </c>
      <c r="E28" s="95">
        <v>2</v>
      </c>
      <c r="F28" s="90"/>
      <c r="G28" s="94">
        <v>0</v>
      </c>
      <c r="H28" s="96">
        <f>5+3.5</f>
        <v>8.5</v>
      </c>
      <c r="I28" s="89">
        <f t="shared" si="0"/>
        <v>8.5</v>
      </c>
    </row>
    <row r="29" spans="1:9" ht="18" x14ac:dyDescent="0.25">
      <c r="A29" s="54">
        <v>25</v>
      </c>
      <c r="B29" s="103" t="s">
        <v>64</v>
      </c>
      <c r="C29" s="90" t="s">
        <v>5</v>
      </c>
      <c r="D29" s="91">
        <v>3</v>
      </c>
      <c r="E29" s="92">
        <v>8</v>
      </c>
      <c r="F29" s="87"/>
      <c r="G29" s="91">
        <f>4+1.5</f>
        <v>5.5</v>
      </c>
      <c r="H29" s="93">
        <f>0.5+1</f>
        <v>1.5</v>
      </c>
      <c r="I29" s="89">
        <f t="shared" si="0"/>
        <v>7</v>
      </c>
    </row>
    <row r="30" spans="1:9" ht="18" x14ac:dyDescent="0.25">
      <c r="A30" s="54">
        <v>26</v>
      </c>
      <c r="B30" s="85" t="s">
        <v>62</v>
      </c>
      <c r="C30" s="90">
        <v>4</v>
      </c>
      <c r="D30" s="91">
        <v>6</v>
      </c>
      <c r="E30" s="92">
        <v>4</v>
      </c>
      <c r="F30" s="87"/>
      <c r="G30" s="91">
        <f>1.5+1</f>
        <v>2.5</v>
      </c>
      <c r="H30" s="93">
        <f>3</f>
        <v>3</v>
      </c>
      <c r="I30" s="89">
        <f t="shared" si="0"/>
        <v>5.5</v>
      </c>
    </row>
    <row r="31" spans="1:9" ht="18" x14ac:dyDescent="0.25">
      <c r="A31" s="54">
        <v>27</v>
      </c>
      <c r="B31" s="71" t="s">
        <v>86</v>
      </c>
      <c r="C31" s="87">
        <v>10</v>
      </c>
      <c r="D31" s="91">
        <v>8</v>
      </c>
      <c r="E31" s="92">
        <v>5</v>
      </c>
      <c r="F31" s="87"/>
      <c r="G31" s="91">
        <f>0.5+1</f>
        <v>1.5</v>
      </c>
      <c r="H31" s="93">
        <f>2+1</f>
        <v>3</v>
      </c>
      <c r="I31" s="98">
        <f t="shared" si="0"/>
        <v>4.5</v>
      </c>
    </row>
    <row r="32" spans="1:9" ht="18" x14ac:dyDescent="0.25">
      <c r="A32" s="56">
        <v>28</v>
      </c>
      <c r="B32" s="43" t="s">
        <v>75</v>
      </c>
      <c r="C32" s="87" t="s">
        <v>5</v>
      </c>
      <c r="D32" s="91">
        <v>5</v>
      </c>
      <c r="E32" s="92">
        <v>7</v>
      </c>
      <c r="F32" s="87"/>
      <c r="G32" s="91">
        <f>2+1</f>
        <v>3</v>
      </c>
      <c r="H32" s="93">
        <f>1</f>
        <v>1</v>
      </c>
      <c r="I32" s="98">
        <f t="shared" si="0"/>
        <v>4</v>
      </c>
    </row>
    <row r="33" spans="1:9" ht="18" x14ac:dyDescent="0.25">
      <c r="A33" s="54">
        <v>29</v>
      </c>
      <c r="B33" s="43" t="s">
        <v>60</v>
      </c>
      <c r="C33" s="87" t="s">
        <v>5</v>
      </c>
      <c r="D33" s="91">
        <v>7</v>
      </c>
      <c r="E33" s="92">
        <v>10</v>
      </c>
      <c r="F33" s="87"/>
      <c r="G33" s="91">
        <f>1</f>
        <v>1</v>
      </c>
      <c r="H33" s="93">
        <v>0</v>
      </c>
      <c r="I33" s="98">
        <f t="shared" si="0"/>
        <v>1</v>
      </c>
    </row>
    <row r="34" spans="1:9" ht="18.75" thickBot="1" x14ac:dyDescent="0.3">
      <c r="A34" s="54">
        <v>29.9</v>
      </c>
      <c r="B34" s="74" t="s">
        <v>59</v>
      </c>
      <c r="C34" s="100">
        <v>13</v>
      </c>
      <c r="D34" s="106"/>
      <c r="E34" s="108"/>
      <c r="F34" s="99"/>
      <c r="G34" s="106"/>
      <c r="H34" s="110"/>
      <c r="I34" s="101">
        <f t="shared" si="0"/>
        <v>0</v>
      </c>
    </row>
    <row r="35" spans="1:9" ht="18" x14ac:dyDescent="0.25">
      <c r="A35" s="54">
        <v>31</v>
      </c>
      <c r="B35" s="76" t="s">
        <v>71</v>
      </c>
      <c r="C35" s="88">
        <v>11</v>
      </c>
      <c r="D35" s="88"/>
      <c r="E35" s="88"/>
      <c r="F35" s="88"/>
      <c r="G35" s="88"/>
      <c r="H35" s="88"/>
      <c r="I35" s="88">
        <f t="shared" si="0"/>
        <v>0</v>
      </c>
    </row>
    <row r="36" spans="1:9" ht="18" x14ac:dyDescent="0.25">
      <c r="A36" s="56">
        <v>32</v>
      </c>
      <c r="B36" s="79" t="s">
        <v>88</v>
      </c>
      <c r="C36" s="93" t="s">
        <v>5</v>
      </c>
      <c r="D36" s="93">
        <v>9</v>
      </c>
      <c r="E36" s="93">
        <v>9</v>
      </c>
      <c r="F36" s="93"/>
      <c r="G36" s="93">
        <v>0</v>
      </c>
      <c r="H36" s="93">
        <v>0</v>
      </c>
      <c r="I36" s="88">
        <f t="shared" si="0"/>
        <v>0</v>
      </c>
    </row>
    <row r="37" spans="1:9" ht="21" customHeight="1" x14ac:dyDescent="0.25">
      <c r="A37" s="54">
        <v>33</v>
      </c>
      <c r="B37" s="104" t="s">
        <v>58</v>
      </c>
      <c r="C37" s="93">
        <v>12</v>
      </c>
      <c r="D37" s="93"/>
      <c r="E37" s="93"/>
      <c r="F37" s="93"/>
      <c r="G37" s="93"/>
      <c r="H37" s="93"/>
      <c r="I37" s="88">
        <f t="shared" si="0"/>
        <v>0</v>
      </c>
    </row>
    <row r="38" spans="1:9" ht="18" x14ac:dyDescent="0.25">
      <c r="A38" s="54">
        <v>34</v>
      </c>
      <c r="B38" s="86" t="s">
        <v>61</v>
      </c>
      <c r="C38" s="96">
        <v>10</v>
      </c>
      <c r="D38" s="96"/>
      <c r="E38" s="96"/>
      <c r="F38" s="96"/>
      <c r="G38" s="96"/>
      <c r="H38" s="96"/>
      <c r="I38" s="88">
        <f t="shared" si="0"/>
        <v>0</v>
      </c>
    </row>
    <row r="39" spans="1:9" ht="18" x14ac:dyDescent="0.25">
      <c r="A39" s="75">
        <v>35</v>
      </c>
      <c r="B39" s="78"/>
      <c r="C39" s="93"/>
      <c r="D39" s="93"/>
      <c r="E39" s="93"/>
      <c r="F39" s="93"/>
      <c r="G39" s="93"/>
      <c r="H39" s="93"/>
      <c r="I39" s="88"/>
    </row>
    <row r="40" spans="1:9" x14ac:dyDescent="0.25">
      <c r="A40" s="35"/>
      <c r="B40" s="35"/>
      <c r="C40" s="35"/>
      <c r="D40" s="35"/>
      <c r="E40" s="35"/>
      <c r="F40" s="35"/>
      <c r="G40" s="35"/>
      <c r="H40" s="35"/>
      <c r="I40" s="35"/>
    </row>
  </sheetData>
  <sortState ref="B5:I39">
    <sortCondition descending="1" ref="I5:I39"/>
  </sortState>
  <mergeCells count="6">
    <mergeCell ref="A1:I2"/>
    <mergeCell ref="A3:A4"/>
    <mergeCell ref="B3:B4"/>
    <mergeCell ref="D3:E3"/>
    <mergeCell ref="F3:H3"/>
    <mergeCell ref="I3:I4"/>
  </mergeCells>
  <pageMargins left="0.70866141732283472" right="0.70866141732283472" top="0.74803149606299213" bottom="0.74803149606299213" header="0.31496062992125984" footer="0.31496062992125984"/>
  <pageSetup paperSize="9" scale="72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zoomScale="50" zoomScaleNormal="50" workbookViewId="0">
      <selection activeCell="B11" sqref="B11"/>
    </sheetView>
  </sheetViews>
  <sheetFormatPr defaultRowHeight="15" x14ac:dyDescent="0.25"/>
  <cols>
    <col min="1" max="1" width="5.140625" customWidth="1"/>
    <col min="2" max="2" width="52.5703125" customWidth="1"/>
    <col min="3" max="3" width="7.7109375" customWidth="1"/>
  </cols>
  <sheetData>
    <row r="1" spans="1:9" x14ac:dyDescent="0.25">
      <c r="A1" s="167" t="s">
        <v>90</v>
      </c>
      <c r="B1" s="168"/>
      <c r="C1" s="168"/>
      <c r="D1" s="168"/>
      <c r="E1" s="168"/>
      <c r="F1" s="168"/>
      <c r="G1" s="168"/>
      <c r="H1" s="168"/>
      <c r="I1" s="169"/>
    </row>
    <row r="2" spans="1:9" ht="15.75" thickBot="1" x14ac:dyDescent="0.3">
      <c r="A2" s="170"/>
      <c r="B2" s="158"/>
      <c r="C2" s="158"/>
      <c r="D2" s="158"/>
      <c r="E2" s="158"/>
      <c r="F2" s="158"/>
      <c r="G2" s="158"/>
      <c r="H2" s="158"/>
      <c r="I2" s="171"/>
    </row>
    <row r="3" spans="1:9" ht="16.5" thickBot="1" x14ac:dyDescent="0.3">
      <c r="A3" s="159"/>
      <c r="B3" s="161" t="s">
        <v>0</v>
      </c>
      <c r="C3" s="1" t="s">
        <v>1</v>
      </c>
      <c r="D3" s="172" t="s">
        <v>63</v>
      </c>
      <c r="E3" s="173"/>
      <c r="F3" s="164" t="s">
        <v>2</v>
      </c>
      <c r="G3" s="164"/>
      <c r="H3" s="164"/>
      <c r="I3" s="165" t="s">
        <v>3</v>
      </c>
    </row>
    <row r="4" spans="1:9" ht="16.5" thickBot="1" x14ac:dyDescent="0.3">
      <c r="A4" s="160"/>
      <c r="B4" s="162"/>
      <c r="C4" s="49" t="s">
        <v>4</v>
      </c>
      <c r="D4" s="80">
        <v>1</v>
      </c>
      <c r="E4" s="81">
        <v>2</v>
      </c>
      <c r="F4" s="82">
        <v>0</v>
      </c>
      <c r="G4" s="83">
        <v>1</v>
      </c>
      <c r="H4" s="84">
        <v>2</v>
      </c>
      <c r="I4" s="166"/>
    </row>
    <row r="5" spans="1:9" ht="18" x14ac:dyDescent="0.25">
      <c r="A5" s="54">
        <v>1</v>
      </c>
      <c r="B5" s="43" t="s">
        <v>82</v>
      </c>
      <c r="C5" s="87">
        <v>10</v>
      </c>
      <c r="D5" s="91">
        <v>3</v>
      </c>
      <c r="E5" s="92">
        <v>7</v>
      </c>
      <c r="F5" s="87">
        <v>2</v>
      </c>
      <c r="G5" s="91">
        <f>13+3.5+2.5</f>
        <v>19</v>
      </c>
      <c r="H5" s="93">
        <f>12+2.8+0.5</f>
        <v>15.3</v>
      </c>
      <c r="I5" s="89">
        <f t="shared" ref="I5:I37" si="0">SUM(F5:H5)</f>
        <v>36.299999999999997</v>
      </c>
    </row>
    <row r="6" spans="1:9" ht="18" x14ac:dyDescent="0.25">
      <c r="A6" s="54">
        <v>2</v>
      </c>
      <c r="B6" s="43" t="s">
        <v>73</v>
      </c>
      <c r="C6" s="87"/>
      <c r="D6" s="91">
        <v>4</v>
      </c>
      <c r="E6" s="92">
        <v>6</v>
      </c>
      <c r="F6" s="87">
        <v>1</v>
      </c>
      <c r="G6" s="91">
        <f>14+2.8-2+1.5</f>
        <v>16.3</v>
      </c>
      <c r="H6" s="93">
        <f>12.5+2.1</f>
        <v>14.6</v>
      </c>
      <c r="I6" s="89">
        <f t="shared" si="0"/>
        <v>31.9</v>
      </c>
    </row>
    <row r="7" spans="1:9" ht="18" x14ac:dyDescent="0.25">
      <c r="A7" s="54">
        <v>3</v>
      </c>
      <c r="B7" s="103" t="s">
        <v>83</v>
      </c>
      <c r="C7" s="90" t="s">
        <v>5</v>
      </c>
      <c r="D7" s="91">
        <v>8</v>
      </c>
      <c r="E7" s="92">
        <v>10</v>
      </c>
      <c r="F7" s="87">
        <v>2.5</v>
      </c>
      <c r="G7" s="91">
        <f>11.5+2.1+2</f>
        <v>15.6</v>
      </c>
      <c r="H7" s="93">
        <f>10.5+2</f>
        <v>12.5</v>
      </c>
      <c r="I7" s="89">
        <f t="shared" si="0"/>
        <v>30.6</v>
      </c>
    </row>
    <row r="8" spans="1:9" ht="18" x14ac:dyDescent="0.25">
      <c r="A8" s="54">
        <v>4</v>
      </c>
      <c r="B8" s="43" t="s">
        <v>80</v>
      </c>
      <c r="C8" s="90" t="s">
        <v>5</v>
      </c>
      <c r="D8" s="91">
        <v>3</v>
      </c>
      <c r="E8" s="92">
        <v>5</v>
      </c>
      <c r="F8" s="87"/>
      <c r="G8" s="91">
        <f>15+0.5</f>
        <v>15.5</v>
      </c>
      <c r="H8" s="93">
        <f>13+1.4</f>
        <v>14.4</v>
      </c>
      <c r="I8" s="89">
        <f t="shared" si="0"/>
        <v>29.9</v>
      </c>
    </row>
    <row r="9" spans="1:9" ht="18" x14ac:dyDescent="0.25">
      <c r="A9" s="54">
        <v>5</v>
      </c>
      <c r="B9" s="43" t="s">
        <v>101</v>
      </c>
      <c r="C9" s="87" t="s">
        <v>5</v>
      </c>
      <c r="D9" s="91">
        <v>1</v>
      </c>
      <c r="E9" s="92">
        <v>4</v>
      </c>
      <c r="F9" s="87"/>
      <c r="G9" s="91">
        <f>11.5+3.5</f>
        <v>15</v>
      </c>
      <c r="H9" s="93">
        <f>14</f>
        <v>14</v>
      </c>
      <c r="I9" s="89">
        <f t="shared" si="0"/>
        <v>29</v>
      </c>
    </row>
    <row r="10" spans="1:9" ht="18" x14ac:dyDescent="0.25">
      <c r="A10" s="54">
        <v>6</v>
      </c>
      <c r="B10" s="111" t="s">
        <v>79</v>
      </c>
      <c r="C10" s="90" t="s">
        <v>5</v>
      </c>
      <c r="D10" s="94">
        <v>6</v>
      </c>
      <c r="E10" s="95">
        <v>3</v>
      </c>
      <c r="F10" s="90">
        <v>0.5</v>
      </c>
      <c r="G10" s="94">
        <f>12.5+0.7</f>
        <v>13.2</v>
      </c>
      <c r="H10" s="96">
        <f>15</f>
        <v>15</v>
      </c>
      <c r="I10" s="89">
        <f t="shared" si="0"/>
        <v>28.7</v>
      </c>
    </row>
    <row r="11" spans="1:9" ht="18" x14ac:dyDescent="0.25">
      <c r="A11" s="54">
        <v>7</v>
      </c>
      <c r="B11" s="73" t="s">
        <v>74</v>
      </c>
      <c r="C11" s="87">
        <v>6</v>
      </c>
      <c r="D11" s="91">
        <v>10</v>
      </c>
      <c r="E11" s="92">
        <v>1</v>
      </c>
      <c r="F11" s="87"/>
      <c r="G11" s="91">
        <v>10.5</v>
      </c>
      <c r="H11" s="93">
        <f>17</f>
        <v>17</v>
      </c>
      <c r="I11" s="89">
        <f t="shared" si="0"/>
        <v>27.5</v>
      </c>
    </row>
    <row r="12" spans="1:9" ht="18" x14ac:dyDescent="0.25">
      <c r="A12" s="54">
        <v>8</v>
      </c>
      <c r="B12" s="77" t="s">
        <v>70</v>
      </c>
      <c r="C12" s="87">
        <v>12</v>
      </c>
      <c r="D12" s="91">
        <v>2</v>
      </c>
      <c r="E12" s="92">
        <v>5</v>
      </c>
      <c r="F12" s="87"/>
      <c r="G12" s="91">
        <f>16</f>
        <v>16</v>
      </c>
      <c r="H12" s="93">
        <f>7.5+2.5</f>
        <v>10</v>
      </c>
      <c r="I12" s="89">
        <f t="shared" si="0"/>
        <v>26</v>
      </c>
    </row>
    <row r="13" spans="1:9" ht="18" x14ac:dyDescent="0.25">
      <c r="A13" s="54">
        <v>9</v>
      </c>
      <c r="B13" s="70" t="s">
        <v>68</v>
      </c>
      <c r="C13" s="87" t="s">
        <v>5</v>
      </c>
      <c r="D13" s="91">
        <v>7</v>
      </c>
      <c r="E13" s="92">
        <v>8</v>
      </c>
      <c r="F13" s="87"/>
      <c r="G13" s="91">
        <f>12-3</f>
        <v>9</v>
      </c>
      <c r="H13" s="93">
        <f>11.5</f>
        <v>11.5</v>
      </c>
      <c r="I13" s="89">
        <f t="shared" si="0"/>
        <v>20.5</v>
      </c>
    </row>
    <row r="14" spans="1:9" ht="18" x14ac:dyDescent="0.25">
      <c r="A14" s="54">
        <v>10</v>
      </c>
      <c r="B14" s="103" t="s">
        <v>64</v>
      </c>
      <c r="C14" s="90" t="s">
        <v>5</v>
      </c>
      <c r="D14" s="91">
        <v>2</v>
      </c>
      <c r="E14" s="92">
        <v>3</v>
      </c>
      <c r="F14" s="87"/>
      <c r="G14" s="91">
        <f>10.5+1</f>
        <v>11.5</v>
      </c>
      <c r="H14" s="93">
        <f>9.5+1-2</f>
        <v>8.5</v>
      </c>
      <c r="I14" s="89">
        <f t="shared" si="0"/>
        <v>20</v>
      </c>
    </row>
    <row r="15" spans="1:9" ht="18" x14ac:dyDescent="0.25">
      <c r="A15" s="54">
        <v>11</v>
      </c>
      <c r="B15" s="73" t="s">
        <v>97</v>
      </c>
      <c r="C15" s="87" t="s">
        <v>5</v>
      </c>
      <c r="D15" s="94">
        <v>11</v>
      </c>
      <c r="E15" s="95">
        <v>11</v>
      </c>
      <c r="F15" s="90"/>
      <c r="G15" s="94">
        <f>10-3+1</f>
        <v>8</v>
      </c>
      <c r="H15" s="96">
        <f>10+1</f>
        <v>11</v>
      </c>
      <c r="I15" s="89">
        <f t="shared" si="0"/>
        <v>19</v>
      </c>
    </row>
    <row r="16" spans="1:9" ht="18" x14ac:dyDescent="0.25">
      <c r="A16" s="54">
        <v>12</v>
      </c>
      <c r="B16" s="43" t="s">
        <v>92</v>
      </c>
      <c r="C16" s="87" t="s">
        <v>5</v>
      </c>
      <c r="D16" s="91">
        <v>1</v>
      </c>
      <c r="E16" s="92">
        <v>2</v>
      </c>
      <c r="F16" s="87"/>
      <c r="G16" s="91">
        <f>6+0.5</f>
        <v>6.5</v>
      </c>
      <c r="H16" s="93">
        <f>10.5+2</f>
        <v>12.5</v>
      </c>
      <c r="I16" s="89">
        <f t="shared" si="0"/>
        <v>19</v>
      </c>
    </row>
    <row r="17" spans="1:9" ht="18" x14ac:dyDescent="0.25">
      <c r="A17" s="54">
        <v>13</v>
      </c>
      <c r="B17" s="70" t="s">
        <v>72</v>
      </c>
      <c r="C17" s="87">
        <v>9</v>
      </c>
      <c r="D17" s="91">
        <v>7</v>
      </c>
      <c r="E17" s="92">
        <v>1</v>
      </c>
      <c r="F17" s="87"/>
      <c r="G17" s="91">
        <f>6.5+1.5-3-2</f>
        <v>3</v>
      </c>
      <c r="H17" s="93">
        <f>11.5+4</f>
        <v>15.5</v>
      </c>
      <c r="I17" s="89">
        <f t="shared" si="0"/>
        <v>18.5</v>
      </c>
    </row>
    <row r="18" spans="1:9" ht="18" x14ac:dyDescent="0.25">
      <c r="A18" s="54">
        <v>14</v>
      </c>
      <c r="B18" s="43" t="s">
        <v>76</v>
      </c>
      <c r="C18" s="87" t="s">
        <v>5</v>
      </c>
      <c r="D18" s="91">
        <v>9</v>
      </c>
      <c r="E18" s="92">
        <v>9</v>
      </c>
      <c r="F18" s="87">
        <v>1.5</v>
      </c>
      <c r="G18" s="91">
        <f>11-2-2-3</f>
        <v>4</v>
      </c>
      <c r="H18" s="93">
        <f>11+1.5</f>
        <v>12.5</v>
      </c>
      <c r="I18" s="89">
        <f t="shared" si="0"/>
        <v>18</v>
      </c>
    </row>
    <row r="19" spans="1:9" ht="18" x14ac:dyDescent="0.25">
      <c r="A19" s="54">
        <v>15</v>
      </c>
      <c r="B19" s="43" t="s">
        <v>96</v>
      </c>
      <c r="C19" s="87" t="s">
        <v>5</v>
      </c>
      <c r="D19" s="91">
        <v>3</v>
      </c>
      <c r="E19" s="92">
        <v>3</v>
      </c>
      <c r="F19" s="87"/>
      <c r="G19" s="91">
        <f>4+1.5</f>
        <v>5.5</v>
      </c>
      <c r="H19" s="93">
        <f>9.5+3-2</f>
        <v>10.5</v>
      </c>
      <c r="I19" s="89">
        <f t="shared" si="0"/>
        <v>16</v>
      </c>
    </row>
    <row r="20" spans="1:9" ht="18" x14ac:dyDescent="0.25">
      <c r="A20" s="54">
        <v>16</v>
      </c>
      <c r="B20" s="70" t="s">
        <v>84</v>
      </c>
      <c r="C20" s="87">
        <v>22</v>
      </c>
      <c r="D20" s="94">
        <v>3</v>
      </c>
      <c r="E20" s="95">
        <v>9</v>
      </c>
      <c r="F20" s="90"/>
      <c r="G20" s="94">
        <f>9.5</f>
        <v>9.5</v>
      </c>
      <c r="H20" s="96">
        <v>5.5</v>
      </c>
      <c r="I20" s="89">
        <f t="shared" si="0"/>
        <v>15</v>
      </c>
    </row>
    <row r="21" spans="1:9" ht="18" x14ac:dyDescent="0.25">
      <c r="A21" s="54">
        <v>17</v>
      </c>
      <c r="B21" s="43" t="s">
        <v>15</v>
      </c>
      <c r="C21" s="87">
        <v>5</v>
      </c>
      <c r="D21" s="91">
        <v>6</v>
      </c>
      <c r="E21" s="92">
        <v>6</v>
      </c>
      <c r="F21" s="87"/>
      <c r="G21" s="91">
        <v>7</v>
      </c>
      <c r="H21" s="93">
        <v>7.5</v>
      </c>
      <c r="I21" s="89">
        <f t="shared" si="0"/>
        <v>14.5</v>
      </c>
    </row>
    <row r="22" spans="1:9" ht="18" x14ac:dyDescent="0.25">
      <c r="A22" s="54">
        <v>18</v>
      </c>
      <c r="B22" s="43" t="s">
        <v>100</v>
      </c>
      <c r="C22" s="87"/>
      <c r="D22" s="94">
        <v>8</v>
      </c>
      <c r="E22" s="95">
        <v>1</v>
      </c>
      <c r="F22" s="90"/>
      <c r="G22" s="94">
        <v>0.5</v>
      </c>
      <c r="H22" s="96">
        <f>11.5+1.5</f>
        <v>13</v>
      </c>
      <c r="I22" s="89">
        <f t="shared" si="0"/>
        <v>13.5</v>
      </c>
    </row>
    <row r="23" spans="1:9" ht="18" x14ac:dyDescent="0.25">
      <c r="A23" s="54">
        <v>19</v>
      </c>
      <c r="B23" s="112" t="s">
        <v>107</v>
      </c>
      <c r="C23" s="87"/>
      <c r="D23" s="94">
        <v>6</v>
      </c>
      <c r="E23" s="95">
        <v>4</v>
      </c>
      <c r="F23" s="90"/>
      <c r="G23" s="94">
        <f>1.5+2</f>
        <v>3.5</v>
      </c>
      <c r="H23" s="96">
        <f>8.5+3-2</f>
        <v>9.5</v>
      </c>
      <c r="I23" s="89">
        <f t="shared" si="0"/>
        <v>13</v>
      </c>
    </row>
    <row r="24" spans="1:9" ht="18" x14ac:dyDescent="0.25">
      <c r="A24" s="54">
        <v>20</v>
      </c>
      <c r="B24" s="43" t="s">
        <v>39</v>
      </c>
      <c r="C24" s="87"/>
      <c r="D24" s="91">
        <v>7</v>
      </c>
      <c r="E24" s="92">
        <v>2</v>
      </c>
      <c r="F24" s="87"/>
      <c r="G24" s="91">
        <f>1+1</f>
        <v>2</v>
      </c>
      <c r="H24" s="93">
        <f>10.5</f>
        <v>10.5</v>
      </c>
      <c r="I24" s="89">
        <f t="shared" si="0"/>
        <v>12.5</v>
      </c>
    </row>
    <row r="25" spans="1:9" ht="18" x14ac:dyDescent="0.25">
      <c r="A25" s="54">
        <v>21</v>
      </c>
      <c r="B25" s="43" t="s">
        <v>98</v>
      </c>
      <c r="C25" s="87">
        <v>5</v>
      </c>
      <c r="D25" s="91">
        <v>5</v>
      </c>
      <c r="E25" s="92">
        <v>7</v>
      </c>
      <c r="F25" s="87"/>
      <c r="G25" s="91">
        <f>7.5+0.5-3</f>
        <v>5</v>
      </c>
      <c r="H25" s="93">
        <v>6.5</v>
      </c>
      <c r="I25" s="89">
        <f t="shared" si="0"/>
        <v>11.5</v>
      </c>
    </row>
    <row r="26" spans="1:9" ht="18" x14ac:dyDescent="0.25">
      <c r="A26" s="54">
        <v>22</v>
      </c>
      <c r="B26" s="103" t="s">
        <v>99</v>
      </c>
      <c r="C26" s="90">
        <v>12</v>
      </c>
      <c r="D26" s="91">
        <v>9</v>
      </c>
      <c r="E26" s="92">
        <v>10</v>
      </c>
      <c r="F26" s="87"/>
      <c r="G26" s="91">
        <f>5.5</f>
        <v>5.5</v>
      </c>
      <c r="H26" s="93">
        <v>5.5</v>
      </c>
      <c r="I26" s="89">
        <f t="shared" si="0"/>
        <v>11</v>
      </c>
    </row>
    <row r="27" spans="1:9" ht="18" x14ac:dyDescent="0.25">
      <c r="A27" s="54">
        <v>23</v>
      </c>
      <c r="B27" s="43" t="s">
        <v>62</v>
      </c>
      <c r="C27" s="87">
        <v>4</v>
      </c>
      <c r="D27" s="91">
        <v>4</v>
      </c>
      <c r="E27" s="92">
        <v>6</v>
      </c>
      <c r="F27" s="87"/>
      <c r="G27" s="91">
        <f>8.5+0.5-3</f>
        <v>6</v>
      </c>
      <c r="H27" s="93">
        <f>7+1-3</f>
        <v>5</v>
      </c>
      <c r="I27" s="89">
        <f t="shared" si="0"/>
        <v>11</v>
      </c>
    </row>
    <row r="28" spans="1:9" ht="18" x14ac:dyDescent="0.25">
      <c r="A28" s="54">
        <v>24</v>
      </c>
      <c r="B28" s="43" t="s">
        <v>102</v>
      </c>
      <c r="C28" s="87" t="s">
        <v>5</v>
      </c>
      <c r="D28" s="94">
        <v>4</v>
      </c>
      <c r="E28" s="95">
        <v>7</v>
      </c>
      <c r="F28" s="90"/>
      <c r="G28" s="94">
        <f>3+2</f>
        <v>5</v>
      </c>
      <c r="H28" s="96">
        <f>7+0.5-2</f>
        <v>5.5</v>
      </c>
      <c r="I28" s="89">
        <f t="shared" si="0"/>
        <v>10.5</v>
      </c>
    </row>
    <row r="29" spans="1:9" ht="18" x14ac:dyDescent="0.25">
      <c r="A29" s="54">
        <v>25</v>
      </c>
      <c r="B29" s="85" t="s">
        <v>94</v>
      </c>
      <c r="C29" s="90">
        <v>4</v>
      </c>
      <c r="D29" s="91">
        <v>8</v>
      </c>
      <c r="E29" s="92">
        <v>8</v>
      </c>
      <c r="F29" s="87"/>
      <c r="G29" s="91">
        <f>6-3</f>
        <v>3</v>
      </c>
      <c r="H29" s="93">
        <v>6</v>
      </c>
      <c r="I29" s="89">
        <f t="shared" si="0"/>
        <v>9</v>
      </c>
    </row>
    <row r="30" spans="1:9" ht="18" x14ac:dyDescent="0.25">
      <c r="A30" s="54">
        <v>26</v>
      </c>
      <c r="B30" s="70" t="s">
        <v>105</v>
      </c>
      <c r="C30" s="87" t="s">
        <v>5</v>
      </c>
      <c r="D30" s="91">
        <v>5</v>
      </c>
      <c r="E30" s="92">
        <v>9</v>
      </c>
      <c r="F30" s="87"/>
      <c r="G30" s="91">
        <f>2</f>
        <v>2</v>
      </c>
      <c r="H30" s="93">
        <v>6</v>
      </c>
      <c r="I30" s="98">
        <f t="shared" si="0"/>
        <v>8</v>
      </c>
    </row>
    <row r="31" spans="1:9" ht="18" x14ac:dyDescent="0.25">
      <c r="A31" s="54">
        <v>27</v>
      </c>
      <c r="B31" s="71" t="s">
        <v>106</v>
      </c>
      <c r="C31" s="87">
        <v>19</v>
      </c>
      <c r="D31" s="91">
        <v>10</v>
      </c>
      <c r="E31" s="92">
        <v>5</v>
      </c>
      <c r="F31" s="97"/>
      <c r="G31" s="91">
        <v>0</v>
      </c>
      <c r="H31" s="93">
        <v>8</v>
      </c>
      <c r="I31" s="98">
        <f t="shared" si="0"/>
        <v>8</v>
      </c>
    </row>
    <row r="32" spans="1:9" ht="18" x14ac:dyDescent="0.25">
      <c r="A32" s="56">
        <v>28</v>
      </c>
      <c r="B32" s="43" t="s">
        <v>103</v>
      </c>
      <c r="C32" s="90" t="s">
        <v>5</v>
      </c>
      <c r="D32" s="94">
        <v>2</v>
      </c>
      <c r="E32" s="95">
        <v>10</v>
      </c>
      <c r="F32" s="90"/>
      <c r="G32" s="94">
        <f>5+0.5</f>
        <v>5.5</v>
      </c>
      <c r="H32" s="96">
        <f>5-3</f>
        <v>2</v>
      </c>
      <c r="I32" s="98">
        <f t="shared" si="0"/>
        <v>7.5</v>
      </c>
    </row>
    <row r="33" spans="1:9" ht="18.75" thickBot="1" x14ac:dyDescent="0.3">
      <c r="A33" s="54">
        <v>29</v>
      </c>
      <c r="B33" s="113" t="s">
        <v>104</v>
      </c>
      <c r="C33" s="100"/>
      <c r="D33" s="115">
        <v>9</v>
      </c>
      <c r="E33" s="116">
        <v>8</v>
      </c>
      <c r="F33" s="100"/>
      <c r="G33" s="115">
        <v>0</v>
      </c>
      <c r="H33" s="117">
        <f>6.5-2</f>
        <v>4.5</v>
      </c>
      <c r="I33" s="101">
        <f t="shared" si="0"/>
        <v>4.5</v>
      </c>
    </row>
    <row r="34" spans="1:9" ht="18" x14ac:dyDescent="0.25">
      <c r="A34" s="54">
        <v>29.9</v>
      </c>
      <c r="B34" s="114" t="s">
        <v>93</v>
      </c>
      <c r="C34" s="88">
        <v>7</v>
      </c>
      <c r="D34" s="88">
        <v>10</v>
      </c>
      <c r="E34" s="88">
        <v>4</v>
      </c>
      <c r="F34" s="88"/>
      <c r="G34" s="88">
        <f>5-3-3</f>
        <v>-1</v>
      </c>
      <c r="H34" s="88">
        <f>8.5+1-3-3</f>
        <v>3.5</v>
      </c>
      <c r="I34" s="88">
        <f t="shared" si="0"/>
        <v>2.5</v>
      </c>
    </row>
    <row r="35" spans="1:9" ht="18" x14ac:dyDescent="0.25">
      <c r="A35" s="54">
        <v>31</v>
      </c>
      <c r="B35" s="104" t="s">
        <v>91</v>
      </c>
      <c r="C35" s="93">
        <v>3</v>
      </c>
      <c r="D35" s="93"/>
      <c r="E35" s="93"/>
      <c r="F35" s="93"/>
      <c r="G35" s="93"/>
      <c r="H35" s="93"/>
      <c r="I35" s="88">
        <f t="shared" si="0"/>
        <v>0</v>
      </c>
    </row>
    <row r="36" spans="1:9" ht="18" x14ac:dyDescent="0.25">
      <c r="A36" s="56">
        <v>32</v>
      </c>
      <c r="B36" s="78" t="s">
        <v>88</v>
      </c>
      <c r="C36" s="93" t="s">
        <v>5</v>
      </c>
      <c r="D36" s="96"/>
      <c r="E36" s="96"/>
      <c r="F36" s="96"/>
      <c r="G36" s="96"/>
      <c r="H36" s="96"/>
      <c r="I36" s="88">
        <f t="shared" si="0"/>
        <v>0</v>
      </c>
    </row>
    <row r="37" spans="1:9" ht="21" customHeight="1" x14ac:dyDescent="0.25">
      <c r="A37" s="54">
        <v>33</v>
      </c>
      <c r="B37" s="70" t="s">
        <v>95</v>
      </c>
      <c r="C37" s="93">
        <v>9</v>
      </c>
      <c r="D37" s="93"/>
      <c r="E37" s="93"/>
      <c r="F37" s="93"/>
      <c r="G37" s="93"/>
      <c r="H37" s="93"/>
      <c r="I37" s="88">
        <f t="shared" si="0"/>
        <v>0</v>
      </c>
    </row>
    <row r="38" spans="1:9" ht="18" hidden="1" x14ac:dyDescent="0.25">
      <c r="A38" s="54">
        <v>34</v>
      </c>
    </row>
    <row r="39" spans="1:9" ht="18" hidden="1" x14ac:dyDescent="0.25">
      <c r="A39" s="75">
        <v>35</v>
      </c>
      <c r="B39" s="78"/>
      <c r="C39" s="93"/>
      <c r="D39" s="93"/>
      <c r="E39" s="93"/>
      <c r="F39" s="93"/>
      <c r="G39" s="93"/>
      <c r="H39" s="93"/>
      <c r="I39" s="88"/>
    </row>
    <row r="40" spans="1:9" hidden="1" x14ac:dyDescent="0.25">
      <c r="A40" s="35"/>
      <c r="B40" s="35"/>
      <c r="C40" s="35"/>
      <c r="D40" s="35"/>
      <c r="E40" s="35"/>
      <c r="F40" s="35"/>
      <c r="G40" s="35"/>
      <c r="H40" s="35"/>
      <c r="I40" s="35"/>
    </row>
  </sheetData>
  <sortState ref="B5:I38">
    <sortCondition descending="1" ref="I5:I38"/>
  </sortState>
  <mergeCells count="6">
    <mergeCell ref="A1:I2"/>
    <mergeCell ref="A3:A4"/>
    <mergeCell ref="B3:B4"/>
    <mergeCell ref="D3:E3"/>
    <mergeCell ref="F3:H3"/>
    <mergeCell ref="I3:I4"/>
  </mergeCells>
  <pageMargins left="0.70866141732283472" right="0.70866141732283472" top="0.74803149606299213" bottom="0.74803149606299213" header="0.31496062992125984" footer="0.31496062992125984"/>
  <pageSetup paperSize="9" scale="72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opLeftCell="A4" zoomScale="60" zoomScaleNormal="60" workbookViewId="0">
      <selection activeCell="B31" sqref="B31"/>
    </sheetView>
  </sheetViews>
  <sheetFormatPr defaultRowHeight="15" x14ac:dyDescent="0.25"/>
  <cols>
    <col min="1" max="1" width="5.140625" customWidth="1"/>
    <col min="2" max="2" width="52.5703125" customWidth="1"/>
    <col min="3" max="3" width="7.7109375" customWidth="1"/>
  </cols>
  <sheetData>
    <row r="1" spans="1:9" x14ac:dyDescent="0.25">
      <c r="A1" s="167" t="s">
        <v>108</v>
      </c>
      <c r="B1" s="168"/>
      <c r="C1" s="168"/>
      <c r="D1" s="168"/>
      <c r="E1" s="168"/>
      <c r="F1" s="168"/>
      <c r="G1" s="168"/>
      <c r="H1" s="168"/>
      <c r="I1" s="169"/>
    </row>
    <row r="2" spans="1:9" ht="15.75" thickBot="1" x14ac:dyDescent="0.3">
      <c r="A2" s="170"/>
      <c r="B2" s="158"/>
      <c r="C2" s="158"/>
      <c r="D2" s="158"/>
      <c r="E2" s="158"/>
      <c r="F2" s="158"/>
      <c r="G2" s="158"/>
      <c r="H2" s="158"/>
      <c r="I2" s="171"/>
    </row>
    <row r="3" spans="1:9" ht="16.5" thickBot="1" x14ac:dyDescent="0.3">
      <c r="A3" s="159"/>
      <c r="B3" s="161" t="s">
        <v>0</v>
      </c>
      <c r="C3" s="1" t="s">
        <v>1</v>
      </c>
      <c r="D3" s="172" t="s">
        <v>63</v>
      </c>
      <c r="E3" s="173"/>
      <c r="F3" s="164" t="s">
        <v>2</v>
      </c>
      <c r="G3" s="164"/>
      <c r="H3" s="164"/>
      <c r="I3" s="165" t="s">
        <v>3</v>
      </c>
    </row>
    <row r="4" spans="1:9" ht="16.5" thickBot="1" x14ac:dyDescent="0.3">
      <c r="A4" s="160"/>
      <c r="B4" s="162"/>
      <c r="C4" s="49" t="s">
        <v>4</v>
      </c>
      <c r="D4" s="80">
        <v>1</v>
      </c>
      <c r="E4" s="81">
        <v>2</v>
      </c>
      <c r="F4" s="82">
        <v>0</v>
      </c>
      <c r="G4" s="83">
        <v>1</v>
      </c>
      <c r="H4" s="84">
        <v>2</v>
      </c>
      <c r="I4" s="166"/>
    </row>
    <row r="5" spans="1:9" ht="18" x14ac:dyDescent="0.25">
      <c r="A5" s="54">
        <v>1</v>
      </c>
      <c r="B5" s="118" t="s">
        <v>83</v>
      </c>
      <c r="C5" s="90" t="s">
        <v>5</v>
      </c>
      <c r="D5" s="91">
        <v>9</v>
      </c>
      <c r="E5" s="92">
        <v>3</v>
      </c>
      <c r="F5" s="87">
        <v>1</v>
      </c>
      <c r="G5" s="91">
        <f>11+1</f>
        <v>12</v>
      </c>
      <c r="H5" s="93">
        <f>15+2.8+2.5</f>
        <v>20.3</v>
      </c>
      <c r="I5" s="89"/>
    </row>
    <row r="6" spans="1:9" ht="18" x14ac:dyDescent="0.25">
      <c r="A6" s="54">
        <v>2</v>
      </c>
      <c r="B6" s="43" t="s">
        <v>77</v>
      </c>
      <c r="C6" s="87" t="s">
        <v>5</v>
      </c>
      <c r="D6" s="91">
        <v>8</v>
      </c>
      <c r="E6" s="92">
        <v>2</v>
      </c>
      <c r="F6" s="87">
        <v>1.5</v>
      </c>
      <c r="G6" s="91">
        <f>11.5</f>
        <v>11.5</v>
      </c>
      <c r="H6" s="93">
        <f>16+1</f>
        <v>17</v>
      </c>
      <c r="I6" s="89">
        <f t="shared" ref="I6:I37" si="0">SUM(F6:H6)</f>
        <v>30</v>
      </c>
    </row>
    <row r="7" spans="1:9" ht="18" x14ac:dyDescent="0.25">
      <c r="A7" s="54">
        <v>3</v>
      </c>
      <c r="B7" s="70" t="s">
        <v>112</v>
      </c>
      <c r="C7" s="87">
        <v>10</v>
      </c>
      <c r="D7" s="91">
        <v>2</v>
      </c>
      <c r="E7" s="92">
        <v>1</v>
      </c>
      <c r="F7" s="87"/>
      <c r="G7" s="91">
        <f>10.5+0.5</f>
        <v>11</v>
      </c>
      <c r="H7" s="93">
        <f>17+1.4+0.5</f>
        <v>18.899999999999999</v>
      </c>
      <c r="I7" s="89">
        <f t="shared" si="0"/>
        <v>29.9</v>
      </c>
    </row>
    <row r="8" spans="1:9" ht="18" x14ac:dyDescent="0.25">
      <c r="A8" s="54">
        <v>4</v>
      </c>
      <c r="B8" s="43" t="s">
        <v>109</v>
      </c>
      <c r="C8" s="87">
        <v>16</v>
      </c>
      <c r="D8" s="91">
        <v>4</v>
      </c>
      <c r="E8" s="92">
        <v>4</v>
      </c>
      <c r="F8" s="87"/>
      <c r="G8" s="91">
        <f>14+0.5</f>
        <v>14.5</v>
      </c>
      <c r="H8" s="93">
        <f>14+1.4</f>
        <v>15.4</v>
      </c>
      <c r="I8" s="89">
        <f t="shared" si="0"/>
        <v>29.9</v>
      </c>
    </row>
    <row r="9" spans="1:9" ht="18" x14ac:dyDescent="0.25">
      <c r="A9" s="54">
        <v>5</v>
      </c>
      <c r="B9" s="77" t="s">
        <v>70</v>
      </c>
      <c r="C9" s="87">
        <v>12</v>
      </c>
      <c r="D9" s="91">
        <v>2</v>
      </c>
      <c r="E9" s="92">
        <v>6</v>
      </c>
      <c r="F9" s="87"/>
      <c r="G9" s="91">
        <f>16+0.7</f>
        <v>16.7</v>
      </c>
      <c r="H9" s="93">
        <f>12.5</f>
        <v>12.5</v>
      </c>
      <c r="I9" s="89">
        <f t="shared" si="0"/>
        <v>29.2</v>
      </c>
    </row>
    <row r="10" spans="1:9" ht="18" x14ac:dyDescent="0.25">
      <c r="A10" s="54">
        <v>6</v>
      </c>
      <c r="B10" s="43" t="s">
        <v>118</v>
      </c>
      <c r="C10" s="87"/>
      <c r="D10" s="91">
        <v>7</v>
      </c>
      <c r="E10" s="92">
        <v>8</v>
      </c>
      <c r="F10" s="87">
        <v>2.5</v>
      </c>
      <c r="G10" s="91">
        <f>12+2.1-3+2.5</f>
        <v>13.6</v>
      </c>
      <c r="H10" s="93">
        <f>11.5+1.4</f>
        <v>12.9</v>
      </c>
      <c r="I10" s="89">
        <f t="shared" si="0"/>
        <v>29</v>
      </c>
    </row>
    <row r="11" spans="1:9" ht="18" x14ac:dyDescent="0.25">
      <c r="A11" s="54">
        <v>7</v>
      </c>
      <c r="B11" s="43" t="s">
        <v>73</v>
      </c>
      <c r="C11" s="87">
        <v>1</v>
      </c>
      <c r="D11" s="91">
        <v>10</v>
      </c>
      <c r="E11" s="92">
        <v>9</v>
      </c>
      <c r="F11" s="87">
        <v>2</v>
      </c>
      <c r="G11" s="91">
        <f>10.5+2</f>
        <v>12.5</v>
      </c>
      <c r="H11" s="93">
        <f>11+2</f>
        <v>13</v>
      </c>
      <c r="I11" s="89">
        <f t="shared" si="0"/>
        <v>27.5</v>
      </c>
    </row>
    <row r="12" spans="1:9" ht="18" x14ac:dyDescent="0.25">
      <c r="A12" s="54">
        <v>8</v>
      </c>
      <c r="B12" s="43" t="s">
        <v>80</v>
      </c>
      <c r="C12" s="90" t="s">
        <v>5</v>
      </c>
      <c r="D12" s="94">
        <v>5</v>
      </c>
      <c r="E12" s="95">
        <v>5</v>
      </c>
      <c r="F12" s="90">
        <v>0.5</v>
      </c>
      <c r="G12" s="94">
        <f>13+0.7</f>
        <v>13.7</v>
      </c>
      <c r="H12" s="96">
        <f>13</f>
        <v>13</v>
      </c>
      <c r="I12" s="89">
        <f t="shared" si="0"/>
        <v>27.2</v>
      </c>
    </row>
    <row r="13" spans="1:9" ht="18" x14ac:dyDescent="0.25">
      <c r="A13" s="54">
        <v>9</v>
      </c>
      <c r="B13" s="70" t="s">
        <v>123</v>
      </c>
      <c r="C13" s="87"/>
      <c r="D13" s="91">
        <v>1</v>
      </c>
      <c r="E13" s="92">
        <v>10</v>
      </c>
      <c r="F13" s="87"/>
      <c r="G13" s="91">
        <f>17+0.7-4+1.5</f>
        <v>15.2</v>
      </c>
      <c r="H13" s="93">
        <f>10.5-2+1.5</f>
        <v>10</v>
      </c>
      <c r="I13" s="89">
        <f t="shared" si="0"/>
        <v>25.2</v>
      </c>
    </row>
    <row r="14" spans="1:9" ht="18" x14ac:dyDescent="0.25">
      <c r="A14" s="54">
        <v>10</v>
      </c>
      <c r="B14" s="43" t="s">
        <v>119</v>
      </c>
      <c r="C14" s="87">
        <v>7</v>
      </c>
      <c r="D14" s="94">
        <v>6</v>
      </c>
      <c r="E14" s="95">
        <v>3</v>
      </c>
      <c r="F14" s="90"/>
      <c r="G14" s="94">
        <f>12.5</f>
        <v>12.5</v>
      </c>
      <c r="H14" s="96">
        <f>9.5+0.5</f>
        <v>10</v>
      </c>
      <c r="I14" s="89">
        <f t="shared" si="0"/>
        <v>22.5</v>
      </c>
    </row>
    <row r="15" spans="1:9" ht="18" x14ac:dyDescent="0.25">
      <c r="A15" s="54">
        <v>11</v>
      </c>
      <c r="B15" s="77" t="s">
        <v>124</v>
      </c>
      <c r="C15" s="87" t="s">
        <v>5</v>
      </c>
      <c r="D15" s="91">
        <v>3</v>
      </c>
      <c r="E15" s="92">
        <v>7</v>
      </c>
      <c r="F15" s="87"/>
      <c r="G15" s="91">
        <f>9.5+1</f>
        <v>10.5</v>
      </c>
      <c r="H15" s="93">
        <f>12-2</f>
        <v>10</v>
      </c>
      <c r="I15" s="89">
        <f t="shared" si="0"/>
        <v>20.5</v>
      </c>
    </row>
    <row r="16" spans="1:9" ht="18" x14ac:dyDescent="0.25">
      <c r="A16" s="54">
        <v>12</v>
      </c>
      <c r="B16" s="70" t="s">
        <v>117</v>
      </c>
      <c r="C16" s="87" t="s">
        <v>5</v>
      </c>
      <c r="D16" s="94">
        <v>1</v>
      </c>
      <c r="E16" s="95">
        <v>5</v>
      </c>
      <c r="F16" s="90"/>
      <c r="G16" s="94">
        <f>11.5+0.5</f>
        <v>12</v>
      </c>
      <c r="H16" s="96">
        <f>7.5+2.5-2</f>
        <v>8</v>
      </c>
      <c r="I16" s="89">
        <f t="shared" si="0"/>
        <v>20</v>
      </c>
    </row>
    <row r="17" spans="1:9" ht="18" x14ac:dyDescent="0.25">
      <c r="A17" s="54">
        <v>13</v>
      </c>
      <c r="B17" s="70" t="s">
        <v>84</v>
      </c>
      <c r="C17" s="87">
        <v>20</v>
      </c>
      <c r="D17" s="91">
        <v>3</v>
      </c>
      <c r="E17" s="92">
        <v>1</v>
      </c>
      <c r="F17" s="87"/>
      <c r="G17" s="91">
        <f>4+3.5-2</f>
        <v>5.5</v>
      </c>
      <c r="H17" s="93">
        <f>11.5+0.5</f>
        <v>12</v>
      </c>
      <c r="I17" s="89">
        <f t="shared" si="0"/>
        <v>17.5</v>
      </c>
    </row>
    <row r="18" spans="1:9" ht="18" x14ac:dyDescent="0.25">
      <c r="A18" s="54">
        <v>14</v>
      </c>
      <c r="B18" s="70" t="s">
        <v>72</v>
      </c>
      <c r="C18" s="87">
        <v>8</v>
      </c>
      <c r="D18" s="91">
        <v>5</v>
      </c>
      <c r="E18" s="92">
        <v>4</v>
      </c>
      <c r="F18" s="87"/>
      <c r="G18" s="91">
        <v>7.5</v>
      </c>
      <c r="H18" s="93">
        <f>8.5+0.5</f>
        <v>9</v>
      </c>
      <c r="I18" s="89">
        <f t="shared" si="0"/>
        <v>16.5</v>
      </c>
    </row>
    <row r="19" spans="1:9" ht="18" x14ac:dyDescent="0.25">
      <c r="A19" s="54">
        <v>15</v>
      </c>
      <c r="B19" s="43" t="s">
        <v>114</v>
      </c>
      <c r="C19" s="87" t="s">
        <v>5</v>
      </c>
      <c r="D19" s="91">
        <v>9</v>
      </c>
      <c r="E19" s="92">
        <v>2</v>
      </c>
      <c r="F19" s="87"/>
      <c r="G19" s="91">
        <f>5.5</f>
        <v>5.5</v>
      </c>
      <c r="H19" s="93">
        <f>10.5+0.5-2</f>
        <v>9</v>
      </c>
      <c r="I19" s="89">
        <f t="shared" si="0"/>
        <v>14.5</v>
      </c>
    </row>
    <row r="20" spans="1:9" ht="18" x14ac:dyDescent="0.25">
      <c r="A20" s="54">
        <v>16</v>
      </c>
      <c r="B20" s="77" t="s">
        <v>111</v>
      </c>
      <c r="C20" s="87" t="s">
        <v>5</v>
      </c>
      <c r="D20" s="91">
        <v>4</v>
      </c>
      <c r="E20" s="92">
        <v>6</v>
      </c>
      <c r="F20" s="87"/>
      <c r="G20" s="91">
        <v>8.5</v>
      </c>
      <c r="H20" s="93">
        <f>7+0.5-2</f>
        <v>5.5</v>
      </c>
      <c r="I20" s="89">
        <f t="shared" si="0"/>
        <v>14</v>
      </c>
    </row>
    <row r="21" spans="1:9" ht="18" x14ac:dyDescent="0.25">
      <c r="A21" s="54">
        <v>17</v>
      </c>
      <c r="B21" s="43" t="s">
        <v>82</v>
      </c>
      <c r="C21" s="87">
        <v>10</v>
      </c>
      <c r="D21" s="94">
        <v>3</v>
      </c>
      <c r="E21" s="95">
        <v>8</v>
      </c>
      <c r="F21" s="90"/>
      <c r="G21" s="94">
        <f>15-2-2-4</f>
        <v>7</v>
      </c>
      <c r="H21" s="96">
        <f>6</f>
        <v>6</v>
      </c>
      <c r="I21" s="89">
        <f t="shared" si="0"/>
        <v>13</v>
      </c>
    </row>
    <row r="22" spans="1:9" ht="18" x14ac:dyDescent="0.25">
      <c r="A22" s="54">
        <v>18</v>
      </c>
      <c r="B22" s="43" t="s">
        <v>74</v>
      </c>
      <c r="C22" s="87">
        <v>5</v>
      </c>
      <c r="D22" s="94">
        <v>8</v>
      </c>
      <c r="E22" s="95">
        <v>9</v>
      </c>
      <c r="F22" s="90"/>
      <c r="G22" s="94">
        <f>6+1</f>
        <v>7</v>
      </c>
      <c r="H22" s="96">
        <f>5.5</f>
        <v>5.5</v>
      </c>
      <c r="I22" s="89">
        <f t="shared" si="0"/>
        <v>12.5</v>
      </c>
    </row>
    <row r="23" spans="1:9" ht="18" x14ac:dyDescent="0.25">
      <c r="A23" s="54">
        <v>19</v>
      </c>
      <c r="B23" s="72" t="s">
        <v>115</v>
      </c>
      <c r="C23" s="87" t="s">
        <v>5</v>
      </c>
      <c r="D23" s="94">
        <v>7</v>
      </c>
      <c r="E23" s="95">
        <v>7</v>
      </c>
      <c r="F23" s="90"/>
      <c r="G23" s="94">
        <f>6.5+1-3</f>
        <v>4.5</v>
      </c>
      <c r="H23" s="96">
        <f>6.5+1</f>
        <v>7.5</v>
      </c>
      <c r="I23" s="89">
        <f t="shared" si="0"/>
        <v>12</v>
      </c>
    </row>
    <row r="24" spans="1:9" ht="18" x14ac:dyDescent="0.25">
      <c r="A24" s="54">
        <v>20</v>
      </c>
      <c r="B24" s="43" t="s">
        <v>66</v>
      </c>
      <c r="C24" s="87"/>
      <c r="D24" s="91">
        <v>6</v>
      </c>
      <c r="E24" s="92">
        <v>10</v>
      </c>
      <c r="F24" s="87"/>
      <c r="G24" s="91">
        <f>7+0.5-3</f>
        <v>4.5</v>
      </c>
      <c r="H24" s="93">
        <f>5</f>
        <v>5</v>
      </c>
      <c r="I24" s="89">
        <f t="shared" si="0"/>
        <v>9.5</v>
      </c>
    </row>
    <row r="25" spans="1:9" ht="18" x14ac:dyDescent="0.25">
      <c r="A25" s="54">
        <v>21</v>
      </c>
      <c r="B25" s="71" t="s">
        <v>116</v>
      </c>
      <c r="C25" s="87">
        <v>1</v>
      </c>
      <c r="D25" s="94">
        <v>2</v>
      </c>
      <c r="E25" s="95">
        <v>5</v>
      </c>
      <c r="F25" s="90"/>
      <c r="G25" s="94">
        <f>5+0.5</f>
        <v>5.5</v>
      </c>
      <c r="H25" s="96">
        <f>2+1.5</f>
        <v>3.5</v>
      </c>
      <c r="I25" s="89">
        <f t="shared" si="0"/>
        <v>9</v>
      </c>
    </row>
    <row r="26" spans="1:9" ht="18" x14ac:dyDescent="0.25">
      <c r="A26" s="54">
        <v>22</v>
      </c>
      <c r="B26" s="43" t="s">
        <v>122</v>
      </c>
      <c r="C26" s="87">
        <v>3</v>
      </c>
      <c r="D26" s="91">
        <v>1</v>
      </c>
      <c r="E26" s="92">
        <v>9</v>
      </c>
      <c r="F26" s="87"/>
      <c r="G26" s="91">
        <f>6+1.5</f>
        <v>7.5</v>
      </c>
      <c r="H26" s="93">
        <f>0+0.5</f>
        <v>0.5</v>
      </c>
      <c r="I26" s="89">
        <f t="shared" si="0"/>
        <v>8</v>
      </c>
    </row>
    <row r="27" spans="1:9" ht="18" x14ac:dyDescent="0.25">
      <c r="A27" s="54">
        <v>23</v>
      </c>
      <c r="B27" s="43" t="s">
        <v>69</v>
      </c>
      <c r="C27" s="90" t="s">
        <v>5</v>
      </c>
      <c r="D27" s="91">
        <v>10</v>
      </c>
      <c r="E27" s="92">
        <v>7</v>
      </c>
      <c r="F27" s="87"/>
      <c r="G27" s="91">
        <f>5</f>
        <v>5</v>
      </c>
      <c r="H27" s="93">
        <f>1+1</f>
        <v>2</v>
      </c>
      <c r="I27" s="89">
        <f t="shared" si="0"/>
        <v>7</v>
      </c>
    </row>
    <row r="28" spans="1:9" ht="18" x14ac:dyDescent="0.25">
      <c r="A28" s="54">
        <v>24</v>
      </c>
      <c r="B28" s="43" t="s">
        <v>102</v>
      </c>
      <c r="C28" s="87" t="s">
        <v>5</v>
      </c>
      <c r="D28" s="91">
        <v>8</v>
      </c>
      <c r="E28" s="92">
        <v>1</v>
      </c>
      <c r="F28" s="87"/>
      <c r="G28" s="91">
        <v>0.5</v>
      </c>
      <c r="H28" s="93">
        <f>6+0.5</f>
        <v>6.5</v>
      </c>
      <c r="I28" s="89">
        <f t="shared" si="0"/>
        <v>7</v>
      </c>
    </row>
    <row r="29" spans="1:9" ht="18" x14ac:dyDescent="0.25">
      <c r="A29" s="54">
        <v>25</v>
      </c>
      <c r="B29" s="43" t="s">
        <v>15</v>
      </c>
      <c r="C29" s="90">
        <v>5</v>
      </c>
      <c r="D29" s="91">
        <v>7</v>
      </c>
      <c r="E29" s="92">
        <v>4</v>
      </c>
      <c r="F29" s="87"/>
      <c r="G29" s="91">
        <f>1+0.5</f>
        <v>1.5</v>
      </c>
      <c r="H29" s="93">
        <f>3+1</f>
        <v>4</v>
      </c>
      <c r="I29" s="89">
        <f t="shared" si="0"/>
        <v>5.5</v>
      </c>
    </row>
    <row r="30" spans="1:9" ht="18" x14ac:dyDescent="0.25">
      <c r="A30" s="54">
        <v>26</v>
      </c>
      <c r="B30" s="43" t="s">
        <v>120</v>
      </c>
      <c r="C30" s="87" t="s">
        <v>5</v>
      </c>
      <c r="D30" s="91">
        <v>10</v>
      </c>
      <c r="E30" s="92">
        <v>2</v>
      </c>
      <c r="F30" s="97"/>
      <c r="G30" s="91">
        <v>0</v>
      </c>
      <c r="H30" s="93">
        <f>5+0.5</f>
        <v>5.5</v>
      </c>
      <c r="I30" s="98">
        <f t="shared" si="0"/>
        <v>5.5</v>
      </c>
    </row>
    <row r="31" spans="1:9" ht="18" x14ac:dyDescent="0.25">
      <c r="A31" s="54">
        <v>27</v>
      </c>
      <c r="B31" s="103" t="s">
        <v>64</v>
      </c>
      <c r="C31" s="90" t="s">
        <v>5</v>
      </c>
      <c r="D31" s="91">
        <v>9</v>
      </c>
      <c r="E31" s="92">
        <v>3</v>
      </c>
      <c r="F31" s="87"/>
      <c r="G31" s="91">
        <v>0</v>
      </c>
      <c r="H31" s="93">
        <f>4+1</f>
        <v>5</v>
      </c>
      <c r="I31" s="98">
        <f t="shared" si="0"/>
        <v>5</v>
      </c>
    </row>
    <row r="32" spans="1:9" ht="18" x14ac:dyDescent="0.25">
      <c r="A32" s="56">
        <v>28</v>
      </c>
      <c r="B32" s="103" t="s">
        <v>110</v>
      </c>
      <c r="C32" s="90" t="s">
        <v>5</v>
      </c>
      <c r="D32" s="91">
        <v>4</v>
      </c>
      <c r="E32" s="92">
        <v>10</v>
      </c>
      <c r="F32" s="87"/>
      <c r="G32" s="91">
        <v>3</v>
      </c>
      <c r="H32" s="93">
        <v>0</v>
      </c>
      <c r="I32" s="98">
        <f t="shared" si="0"/>
        <v>3</v>
      </c>
    </row>
    <row r="33" spans="1:9" ht="18" x14ac:dyDescent="0.25">
      <c r="A33" s="54">
        <v>29</v>
      </c>
      <c r="B33" s="43" t="s">
        <v>62</v>
      </c>
      <c r="C33" s="90">
        <v>4</v>
      </c>
      <c r="D33" s="91">
        <v>5</v>
      </c>
      <c r="E33" s="92">
        <v>6</v>
      </c>
      <c r="F33" s="87"/>
      <c r="G33" s="91">
        <f>2+0.5</f>
        <v>2.5</v>
      </c>
      <c r="H33" s="93">
        <f>1.5+0.5-1-1</f>
        <v>0</v>
      </c>
      <c r="I33" s="98">
        <f t="shared" si="0"/>
        <v>2.5</v>
      </c>
    </row>
    <row r="34" spans="1:9" ht="18" x14ac:dyDescent="0.25">
      <c r="A34" s="54">
        <v>29.9</v>
      </c>
      <c r="B34" s="76" t="s">
        <v>93</v>
      </c>
      <c r="C34" s="102">
        <v>8</v>
      </c>
      <c r="D34" s="88">
        <v>6</v>
      </c>
      <c r="E34" s="88">
        <v>8</v>
      </c>
      <c r="F34" s="88"/>
      <c r="G34" s="88">
        <f>1.5+0.5-2-3</f>
        <v>-3</v>
      </c>
      <c r="H34" s="88">
        <f>0.5</f>
        <v>0.5</v>
      </c>
      <c r="I34" s="88">
        <f t="shared" si="0"/>
        <v>-2.5</v>
      </c>
    </row>
    <row r="35" spans="1:9" ht="18" x14ac:dyDescent="0.25">
      <c r="A35" s="54">
        <v>31</v>
      </c>
      <c r="B35" s="104" t="s">
        <v>106</v>
      </c>
      <c r="C35" s="93">
        <v>19</v>
      </c>
      <c r="D35" s="96"/>
      <c r="E35" s="96"/>
      <c r="F35" s="96"/>
      <c r="G35" s="96"/>
      <c r="H35" s="96"/>
      <c r="I35" s="88">
        <f t="shared" si="0"/>
        <v>0</v>
      </c>
    </row>
    <row r="36" spans="1:9" ht="18" x14ac:dyDescent="0.25">
      <c r="A36" s="56">
        <v>32</v>
      </c>
      <c r="B36" s="78" t="s">
        <v>113</v>
      </c>
      <c r="C36" s="93" t="s">
        <v>5</v>
      </c>
      <c r="D36" s="93"/>
      <c r="E36" s="93"/>
      <c r="F36" s="93"/>
      <c r="G36" s="93"/>
      <c r="H36" s="93"/>
      <c r="I36" s="88">
        <f t="shared" si="0"/>
        <v>0</v>
      </c>
    </row>
    <row r="37" spans="1:9" ht="21" customHeight="1" x14ac:dyDescent="0.25">
      <c r="A37" s="54">
        <v>33</v>
      </c>
      <c r="B37" s="43" t="s">
        <v>121</v>
      </c>
      <c r="C37" s="87" t="s">
        <v>5</v>
      </c>
      <c r="D37" s="93"/>
      <c r="E37" s="93"/>
      <c r="F37" s="93"/>
      <c r="G37" s="93"/>
      <c r="H37" s="93"/>
      <c r="I37" s="88">
        <f t="shared" si="0"/>
        <v>0</v>
      </c>
    </row>
    <row r="38" spans="1:9" ht="18" hidden="1" x14ac:dyDescent="0.25">
      <c r="A38" s="54">
        <v>34</v>
      </c>
    </row>
    <row r="39" spans="1:9" ht="18" hidden="1" x14ac:dyDescent="0.25">
      <c r="A39" s="75">
        <v>35</v>
      </c>
      <c r="B39" s="78"/>
      <c r="C39" s="93"/>
      <c r="D39" s="93"/>
      <c r="E39" s="93"/>
      <c r="F39" s="93"/>
      <c r="G39" s="93"/>
      <c r="H39" s="93"/>
      <c r="I39" s="88"/>
    </row>
    <row r="40" spans="1:9" hidden="1" x14ac:dyDescent="0.25">
      <c r="A40" s="35"/>
      <c r="B40" s="35"/>
      <c r="C40" s="35"/>
      <c r="D40" s="35"/>
      <c r="E40" s="35"/>
      <c r="F40" s="35"/>
      <c r="G40" s="35"/>
      <c r="H40" s="35"/>
      <c r="I40" s="35"/>
    </row>
  </sheetData>
  <sortState ref="B34:I37">
    <sortCondition ref="I34:I37"/>
  </sortState>
  <mergeCells count="6">
    <mergeCell ref="A1:I2"/>
    <mergeCell ref="A3:A4"/>
    <mergeCell ref="B3:B4"/>
    <mergeCell ref="D3:E3"/>
    <mergeCell ref="F3:H3"/>
    <mergeCell ref="I3:I4"/>
  </mergeCells>
  <pageMargins left="0.70866141732283472" right="0.70866141732283472" top="0.74803149606299213" bottom="0.74803149606299213" header="0.31496062992125984" footer="0.31496062992125984"/>
  <pageSetup paperSize="9" scale="72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zoomScale="60" zoomScaleNormal="60" workbookViewId="0">
      <selection activeCell="B11" sqref="B11"/>
    </sheetView>
  </sheetViews>
  <sheetFormatPr defaultRowHeight="15" x14ac:dyDescent="0.25"/>
  <cols>
    <col min="1" max="1" width="5.140625" customWidth="1"/>
    <col min="2" max="2" width="52.5703125" customWidth="1"/>
    <col min="3" max="3" width="7.7109375" customWidth="1"/>
  </cols>
  <sheetData>
    <row r="1" spans="1:9" x14ac:dyDescent="0.25">
      <c r="A1" s="167" t="s">
        <v>125</v>
      </c>
      <c r="B1" s="168"/>
      <c r="C1" s="168"/>
      <c r="D1" s="168"/>
      <c r="E1" s="168"/>
      <c r="F1" s="168"/>
      <c r="G1" s="168"/>
      <c r="H1" s="168"/>
      <c r="I1" s="169"/>
    </row>
    <row r="2" spans="1:9" ht="15.75" thickBot="1" x14ac:dyDescent="0.3">
      <c r="A2" s="170"/>
      <c r="B2" s="158"/>
      <c r="C2" s="158"/>
      <c r="D2" s="158"/>
      <c r="E2" s="158"/>
      <c r="F2" s="158"/>
      <c r="G2" s="158"/>
      <c r="H2" s="158"/>
      <c r="I2" s="171"/>
    </row>
    <row r="3" spans="1:9" ht="16.5" thickBot="1" x14ac:dyDescent="0.3">
      <c r="A3" s="159"/>
      <c r="B3" s="161" t="s">
        <v>0</v>
      </c>
      <c r="C3" s="1" t="s">
        <v>1</v>
      </c>
      <c r="D3" s="172" t="s">
        <v>63</v>
      </c>
      <c r="E3" s="173"/>
      <c r="F3" s="164" t="s">
        <v>2</v>
      </c>
      <c r="G3" s="164"/>
      <c r="H3" s="164"/>
      <c r="I3" s="165" t="s">
        <v>3</v>
      </c>
    </row>
    <row r="4" spans="1:9" ht="16.5" thickBot="1" x14ac:dyDescent="0.3">
      <c r="A4" s="160"/>
      <c r="B4" s="162"/>
      <c r="C4" s="49" t="s">
        <v>4</v>
      </c>
      <c r="D4" s="80">
        <v>1</v>
      </c>
      <c r="E4" s="81">
        <v>2</v>
      </c>
      <c r="F4" s="82">
        <v>0</v>
      </c>
      <c r="G4" s="83">
        <v>1</v>
      </c>
      <c r="H4" s="84">
        <v>2</v>
      </c>
      <c r="I4" s="166"/>
    </row>
    <row r="5" spans="1:9" ht="18" x14ac:dyDescent="0.25">
      <c r="A5" s="54">
        <v>1</v>
      </c>
      <c r="B5" s="69" t="s">
        <v>9</v>
      </c>
      <c r="C5" s="90" t="s">
        <v>5</v>
      </c>
      <c r="D5" s="91">
        <v>1</v>
      </c>
      <c r="E5" s="92">
        <v>1</v>
      </c>
      <c r="F5" s="87"/>
      <c r="G5" s="91">
        <f>17</f>
        <v>17</v>
      </c>
      <c r="H5" s="93">
        <f>17+1.4</f>
        <v>18.399999999999999</v>
      </c>
      <c r="I5" s="89">
        <f t="shared" ref="I5:I34" si="0">SUM(F5:H5)</f>
        <v>35.4</v>
      </c>
    </row>
    <row r="6" spans="1:9" ht="18" x14ac:dyDescent="0.25">
      <c r="A6" s="54">
        <v>2</v>
      </c>
      <c r="B6" s="43" t="s">
        <v>123</v>
      </c>
      <c r="C6" s="87">
        <v>2.5</v>
      </c>
      <c r="D6" s="91">
        <v>2</v>
      </c>
      <c r="E6" s="92">
        <v>4</v>
      </c>
      <c r="F6" s="87"/>
      <c r="G6" s="91">
        <f>16+1.4-2-2+2.5</f>
        <v>15.899999999999999</v>
      </c>
      <c r="H6" s="93">
        <f>14+4.2+1-2</f>
        <v>17.2</v>
      </c>
      <c r="I6" s="89">
        <f t="shared" si="0"/>
        <v>33.099999999999994</v>
      </c>
    </row>
    <row r="7" spans="1:9" ht="18" x14ac:dyDescent="0.25">
      <c r="A7" s="54">
        <v>3</v>
      </c>
      <c r="B7" s="77" t="s">
        <v>130</v>
      </c>
      <c r="C7" s="87">
        <v>1</v>
      </c>
      <c r="D7" s="91">
        <v>3</v>
      </c>
      <c r="E7" s="92">
        <v>6</v>
      </c>
      <c r="F7" s="87"/>
      <c r="G7" s="91">
        <f>15+1.4+1</f>
        <v>17.399999999999999</v>
      </c>
      <c r="H7" s="93">
        <f>12.5+0.7+2</f>
        <v>15.2</v>
      </c>
      <c r="I7" s="89">
        <f t="shared" si="0"/>
        <v>32.599999999999994</v>
      </c>
    </row>
    <row r="8" spans="1:9" ht="18" x14ac:dyDescent="0.25">
      <c r="A8" s="54">
        <v>4</v>
      </c>
      <c r="B8" s="43" t="s">
        <v>131</v>
      </c>
      <c r="C8" s="87">
        <v>6</v>
      </c>
      <c r="D8" s="94">
        <v>7</v>
      </c>
      <c r="E8" s="95">
        <v>9</v>
      </c>
      <c r="F8" s="90">
        <v>2.5</v>
      </c>
      <c r="G8" s="94">
        <f>12+2.1+2</f>
        <v>16.100000000000001</v>
      </c>
      <c r="H8" s="96">
        <f>11+2.5</f>
        <v>13.5</v>
      </c>
      <c r="I8" s="89">
        <f t="shared" si="0"/>
        <v>32.1</v>
      </c>
    </row>
    <row r="9" spans="1:9" ht="18" x14ac:dyDescent="0.25">
      <c r="A9" s="54">
        <v>5</v>
      </c>
      <c r="B9" s="43" t="s">
        <v>38</v>
      </c>
      <c r="C9" s="87" t="s">
        <v>5</v>
      </c>
      <c r="D9" s="91">
        <v>2</v>
      </c>
      <c r="E9" s="92">
        <v>7</v>
      </c>
      <c r="F9" s="87"/>
      <c r="G9" s="91">
        <f>10.5+4+1.5</f>
        <v>16</v>
      </c>
      <c r="H9" s="93">
        <f>12+0.7</f>
        <v>12.7</v>
      </c>
      <c r="I9" s="89">
        <f t="shared" si="0"/>
        <v>28.7</v>
      </c>
    </row>
    <row r="10" spans="1:9" ht="18" x14ac:dyDescent="0.25">
      <c r="A10" s="54">
        <v>6</v>
      </c>
      <c r="B10" s="103" t="s">
        <v>72</v>
      </c>
      <c r="C10" s="90">
        <v>7.5</v>
      </c>
      <c r="D10" s="91">
        <v>5</v>
      </c>
      <c r="E10" s="92">
        <v>6</v>
      </c>
      <c r="F10" s="87">
        <v>2</v>
      </c>
      <c r="G10" s="91">
        <f>13+2.8-2</f>
        <v>13.8</v>
      </c>
      <c r="H10" s="93">
        <f>7+2+1.5</f>
        <v>10.5</v>
      </c>
      <c r="I10" s="89">
        <f t="shared" si="0"/>
        <v>26.3</v>
      </c>
    </row>
    <row r="11" spans="1:9" ht="18" x14ac:dyDescent="0.25">
      <c r="A11" s="54">
        <v>7</v>
      </c>
      <c r="B11" s="43" t="s">
        <v>74</v>
      </c>
      <c r="C11" s="87">
        <v>5</v>
      </c>
      <c r="D11" s="91">
        <v>8</v>
      </c>
      <c r="E11" s="92">
        <v>3</v>
      </c>
      <c r="F11" s="87">
        <v>1</v>
      </c>
      <c r="G11" s="91">
        <f>11.5</f>
        <v>11.5</v>
      </c>
      <c r="H11" s="93">
        <f>15+0.7-2</f>
        <v>13.7</v>
      </c>
      <c r="I11" s="89">
        <f t="shared" si="0"/>
        <v>26.2</v>
      </c>
    </row>
    <row r="12" spans="1:9" ht="18" x14ac:dyDescent="0.25">
      <c r="A12" s="54">
        <v>8</v>
      </c>
      <c r="B12" s="70" t="s">
        <v>70</v>
      </c>
      <c r="C12" s="87">
        <v>12</v>
      </c>
      <c r="D12" s="91">
        <v>4</v>
      </c>
      <c r="E12" s="92">
        <v>5</v>
      </c>
      <c r="F12" s="87"/>
      <c r="G12" s="91">
        <f>14</f>
        <v>14</v>
      </c>
      <c r="H12" s="93">
        <f>13-2+0.5</f>
        <v>11.5</v>
      </c>
      <c r="I12" s="89">
        <f t="shared" si="0"/>
        <v>25.5</v>
      </c>
    </row>
    <row r="13" spans="1:9" ht="18" x14ac:dyDescent="0.25">
      <c r="A13" s="54">
        <v>9</v>
      </c>
      <c r="B13" s="70" t="s">
        <v>109</v>
      </c>
      <c r="C13" s="87"/>
      <c r="D13" s="91">
        <v>5</v>
      </c>
      <c r="E13" s="92">
        <v>2</v>
      </c>
      <c r="F13" s="87"/>
      <c r="G13" s="91">
        <f>7.5+1.5</f>
        <v>9</v>
      </c>
      <c r="H13" s="93">
        <f>16</f>
        <v>16</v>
      </c>
      <c r="I13" s="89">
        <f t="shared" si="0"/>
        <v>25</v>
      </c>
    </row>
    <row r="14" spans="1:9" ht="18" x14ac:dyDescent="0.25">
      <c r="A14" s="54">
        <v>10</v>
      </c>
      <c r="B14" s="70" t="s">
        <v>132</v>
      </c>
      <c r="C14" s="87" t="s">
        <v>5</v>
      </c>
      <c r="D14" s="94">
        <v>6</v>
      </c>
      <c r="E14" s="95">
        <v>10</v>
      </c>
      <c r="F14" s="90"/>
      <c r="G14" s="94">
        <f>12.5</f>
        <v>12.5</v>
      </c>
      <c r="H14" s="96">
        <f>10.5</f>
        <v>10.5</v>
      </c>
      <c r="I14" s="89">
        <f t="shared" si="0"/>
        <v>23</v>
      </c>
    </row>
    <row r="15" spans="1:9" ht="18" x14ac:dyDescent="0.25">
      <c r="A15" s="54">
        <v>11</v>
      </c>
      <c r="B15" s="43" t="s">
        <v>140</v>
      </c>
      <c r="C15" s="90">
        <v>7</v>
      </c>
      <c r="D15" s="94">
        <v>10</v>
      </c>
      <c r="E15" s="95">
        <v>8</v>
      </c>
      <c r="F15" s="90">
        <v>1.5</v>
      </c>
      <c r="G15" s="94">
        <f>10.5+0.5</f>
        <v>11</v>
      </c>
      <c r="H15" s="96">
        <f>11.5-2</f>
        <v>9.5</v>
      </c>
      <c r="I15" s="89">
        <f t="shared" si="0"/>
        <v>22</v>
      </c>
    </row>
    <row r="16" spans="1:9" ht="18" x14ac:dyDescent="0.25">
      <c r="A16" s="54">
        <v>12</v>
      </c>
      <c r="B16" s="43" t="s">
        <v>134</v>
      </c>
      <c r="C16" s="90"/>
      <c r="D16" s="91">
        <v>1</v>
      </c>
      <c r="E16" s="92">
        <v>5</v>
      </c>
      <c r="F16" s="87"/>
      <c r="G16" s="91">
        <f>11.5+0.5</f>
        <v>12</v>
      </c>
      <c r="H16" s="93">
        <f>7.5+0.5</f>
        <v>8</v>
      </c>
      <c r="I16" s="89">
        <f t="shared" si="0"/>
        <v>20</v>
      </c>
    </row>
    <row r="17" spans="1:9" ht="18" x14ac:dyDescent="0.25">
      <c r="A17" s="54">
        <v>13</v>
      </c>
      <c r="B17" s="43" t="s">
        <v>15</v>
      </c>
      <c r="C17" s="87">
        <v>6</v>
      </c>
      <c r="D17" s="91">
        <v>6</v>
      </c>
      <c r="E17" s="92">
        <v>1</v>
      </c>
      <c r="F17" s="87"/>
      <c r="G17" s="91">
        <f>7</f>
        <v>7</v>
      </c>
      <c r="H17" s="93">
        <f>11.5+1</f>
        <v>12.5</v>
      </c>
      <c r="I17" s="89">
        <f t="shared" si="0"/>
        <v>19.5</v>
      </c>
    </row>
    <row r="18" spans="1:9" ht="18" x14ac:dyDescent="0.25">
      <c r="A18" s="54">
        <v>14</v>
      </c>
      <c r="B18" s="103" t="s">
        <v>136</v>
      </c>
      <c r="C18" s="90">
        <v>12</v>
      </c>
      <c r="D18" s="91">
        <v>3</v>
      </c>
      <c r="E18" s="92">
        <v>1</v>
      </c>
      <c r="F18" s="87"/>
      <c r="G18" s="91">
        <f>9.5</f>
        <v>9.5</v>
      </c>
      <c r="H18" s="93">
        <f>6+3.5</f>
        <v>9.5</v>
      </c>
      <c r="I18" s="89">
        <f t="shared" si="0"/>
        <v>19</v>
      </c>
    </row>
    <row r="19" spans="1:9" ht="18" x14ac:dyDescent="0.25">
      <c r="A19" s="54">
        <v>15</v>
      </c>
      <c r="B19" s="43" t="s">
        <v>93</v>
      </c>
      <c r="C19" s="87">
        <v>9</v>
      </c>
      <c r="D19" s="91">
        <v>9</v>
      </c>
      <c r="E19" s="92">
        <v>7</v>
      </c>
      <c r="F19" s="87">
        <v>0.5</v>
      </c>
      <c r="G19" s="91">
        <f>11</f>
        <v>11</v>
      </c>
      <c r="H19" s="93">
        <f>6.5+0.5</f>
        <v>7</v>
      </c>
      <c r="I19" s="89">
        <f t="shared" si="0"/>
        <v>18.5</v>
      </c>
    </row>
    <row r="20" spans="1:9" ht="18" x14ac:dyDescent="0.25">
      <c r="A20" s="54">
        <v>16</v>
      </c>
      <c r="B20" s="77" t="s">
        <v>120</v>
      </c>
      <c r="C20" s="87" t="s">
        <v>5</v>
      </c>
      <c r="D20" s="91">
        <v>4</v>
      </c>
      <c r="E20" s="92">
        <v>3</v>
      </c>
      <c r="F20" s="87"/>
      <c r="G20" s="91">
        <f>8.5</f>
        <v>8.5</v>
      </c>
      <c r="H20" s="93">
        <f>9.5</f>
        <v>9.5</v>
      </c>
      <c r="I20" s="89">
        <f t="shared" si="0"/>
        <v>18</v>
      </c>
    </row>
    <row r="21" spans="1:9" ht="18" x14ac:dyDescent="0.25">
      <c r="A21" s="54">
        <v>17</v>
      </c>
      <c r="B21" s="77" t="s">
        <v>127</v>
      </c>
      <c r="C21" s="87">
        <v>18</v>
      </c>
      <c r="D21" s="91">
        <v>8</v>
      </c>
      <c r="E21" s="92">
        <v>2</v>
      </c>
      <c r="F21" s="87"/>
      <c r="G21" s="91">
        <f>6+0.5-3</f>
        <v>3.5</v>
      </c>
      <c r="H21" s="93">
        <f>10.5+1</f>
        <v>11.5</v>
      </c>
      <c r="I21" s="89">
        <f t="shared" si="0"/>
        <v>15</v>
      </c>
    </row>
    <row r="22" spans="1:9" ht="18" x14ac:dyDescent="0.25">
      <c r="A22" s="54">
        <v>18</v>
      </c>
      <c r="B22" s="70" t="s">
        <v>133</v>
      </c>
      <c r="C22" s="87"/>
      <c r="D22" s="94">
        <v>7</v>
      </c>
      <c r="E22" s="95">
        <v>8</v>
      </c>
      <c r="F22" s="90"/>
      <c r="G22" s="94">
        <f>6.5</f>
        <v>6.5</v>
      </c>
      <c r="H22" s="96">
        <f>6+0.5</f>
        <v>6.5</v>
      </c>
      <c r="I22" s="89">
        <f t="shared" si="0"/>
        <v>13</v>
      </c>
    </row>
    <row r="23" spans="1:9" ht="18" x14ac:dyDescent="0.25">
      <c r="A23" s="54">
        <v>19</v>
      </c>
      <c r="B23" s="69" t="s">
        <v>96</v>
      </c>
      <c r="C23" s="87" t="s">
        <v>5</v>
      </c>
      <c r="D23" s="94">
        <v>4</v>
      </c>
      <c r="E23" s="95">
        <v>4</v>
      </c>
      <c r="F23" s="90"/>
      <c r="G23" s="94">
        <f>3+2.5-2</f>
        <v>3.5</v>
      </c>
      <c r="H23" s="96">
        <f>8.5</f>
        <v>8.5</v>
      </c>
      <c r="I23" s="89">
        <f t="shared" si="0"/>
        <v>12</v>
      </c>
    </row>
    <row r="24" spans="1:9" ht="18" x14ac:dyDescent="0.25">
      <c r="A24" s="54">
        <v>20</v>
      </c>
      <c r="B24" s="43" t="s">
        <v>62</v>
      </c>
      <c r="C24" s="87">
        <v>5</v>
      </c>
      <c r="D24" s="91">
        <v>10</v>
      </c>
      <c r="E24" s="92">
        <v>9</v>
      </c>
      <c r="F24" s="87"/>
      <c r="G24" s="91">
        <f>5</f>
        <v>5</v>
      </c>
      <c r="H24" s="93">
        <f>5.5</f>
        <v>5.5</v>
      </c>
      <c r="I24" s="89">
        <f t="shared" si="0"/>
        <v>10.5</v>
      </c>
    </row>
    <row r="25" spans="1:9" ht="18" x14ac:dyDescent="0.25">
      <c r="A25" s="54">
        <v>21</v>
      </c>
      <c r="B25" s="70" t="s">
        <v>126</v>
      </c>
      <c r="C25" s="87">
        <v>13</v>
      </c>
      <c r="D25" s="91">
        <v>3</v>
      </c>
      <c r="E25" s="92">
        <v>5</v>
      </c>
      <c r="F25" s="87"/>
      <c r="G25" s="91">
        <f>4+2.5</f>
        <v>6.5</v>
      </c>
      <c r="H25" s="93">
        <f>2+1</f>
        <v>3</v>
      </c>
      <c r="I25" s="89">
        <f t="shared" si="0"/>
        <v>9.5</v>
      </c>
    </row>
    <row r="26" spans="1:9" ht="18" x14ac:dyDescent="0.25">
      <c r="A26" s="54">
        <v>22</v>
      </c>
      <c r="B26" s="103" t="s">
        <v>137</v>
      </c>
      <c r="C26" s="90" t="s">
        <v>5</v>
      </c>
      <c r="D26" s="91">
        <v>9</v>
      </c>
      <c r="E26" s="92">
        <v>2</v>
      </c>
      <c r="F26" s="87"/>
      <c r="G26" s="91">
        <f>5.5-2</f>
        <v>3.5</v>
      </c>
      <c r="H26" s="93">
        <f>5</f>
        <v>5</v>
      </c>
      <c r="I26" s="89">
        <f t="shared" si="0"/>
        <v>8.5</v>
      </c>
    </row>
    <row r="27" spans="1:9" ht="18" x14ac:dyDescent="0.25">
      <c r="A27" s="54">
        <v>23</v>
      </c>
      <c r="B27" s="43" t="s">
        <v>100</v>
      </c>
      <c r="C27" s="87">
        <v>9</v>
      </c>
      <c r="D27" s="91">
        <v>1</v>
      </c>
      <c r="E27" s="92">
        <v>6</v>
      </c>
      <c r="F27" s="87"/>
      <c r="G27" s="91">
        <f>6+0.5</f>
        <v>6.5</v>
      </c>
      <c r="H27" s="93">
        <f>1.5</f>
        <v>1.5</v>
      </c>
      <c r="I27" s="89">
        <f t="shared" si="0"/>
        <v>8</v>
      </c>
    </row>
    <row r="28" spans="1:9" ht="18" x14ac:dyDescent="0.25">
      <c r="A28" s="54">
        <v>24</v>
      </c>
      <c r="B28" s="43" t="s">
        <v>128</v>
      </c>
      <c r="C28" s="87" t="s">
        <v>5</v>
      </c>
      <c r="D28" s="91">
        <v>7</v>
      </c>
      <c r="E28" s="92">
        <v>3</v>
      </c>
      <c r="F28" s="87"/>
      <c r="G28" s="91">
        <f>1</f>
        <v>1</v>
      </c>
      <c r="H28" s="93">
        <f>4+0.5</f>
        <v>4.5</v>
      </c>
      <c r="I28" s="89">
        <f t="shared" si="0"/>
        <v>5.5</v>
      </c>
    </row>
    <row r="29" spans="1:9" ht="18" x14ac:dyDescent="0.25">
      <c r="A29" s="54">
        <v>25</v>
      </c>
      <c r="B29" s="43" t="s">
        <v>141</v>
      </c>
      <c r="C29" s="90"/>
      <c r="D29" s="91">
        <v>6</v>
      </c>
      <c r="E29" s="92">
        <v>4</v>
      </c>
      <c r="F29" s="87"/>
      <c r="G29" s="91">
        <f>1.5</f>
        <v>1.5</v>
      </c>
      <c r="H29" s="93">
        <f>3+0.5</f>
        <v>3.5</v>
      </c>
      <c r="I29" s="89">
        <f t="shared" si="0"/>
        <v>5</v>
      </c>
    </row>
    <row r="30" spans="1:9" ht="18" x14ac:dyDescent="0.25">
      <c r="A30" s="54">
        <v>26</v>
      </c>
      <c r="B30" s="71" t="s">
        <v>59</v>
      </c>
      <c r="C30" s="87">
        <v>12.5</v>
      </c>
      <c r="D30" s="94">
        <v>2</v>
      </c>
      <c r="E30" s="95">
        <v>10</v>
      </c>
      <c r="F30" s="90"/>
      <c r="G30" s="94">
        <f>5+0.5-3</f>
        <v>2.5</v>
      </c>
      <c r="H30" s="96">
        <f>5-2-2</f>
        <v>1</v>
      </c>
      <c r="I30" s="89">
        <f t="shared" si="0"/>
        <v>3.5</v>
      </c>
    </row>
    <row r="31" spans="1:9" ht="18" x14ac:dyDescent="0.25">
      <c r="A31" s="54">
        <v>27</v>
      </c>
      <c r="B31" s="43" t="s">
        <v>139</v>
      </c>
      <c r="C31" s="87" t="s">
        <v>5</v>
      </c>
      <c r="D31" s="94">
        <v>5</v>
      </c>
      <c r="E31" s="95">
        <v>7</v>
      </c>
      <c r="F31" s="90"/>
      <c r="G31" s="94">
        <f>2+0.5</f>
        <v>2.5</v>
      </c>
      <c r="H31" s="96">
        <f>1</f>
        <v>1</v>
      </c>
      <c r="I31" s="89">
        <f t="shared" si="0"/>
        <v>3.5</v>
      </c>
    </row>
    <row r="32" spans="1:9" ht="18" x14ac:dyDescent="0.25">
      <c r="A32" s="54">
        <v>28</v>
      </c>
      <c r="B32" s="43" t="s">
        <v>138</v>
      </c>
      <c r="C32" s="90"/>
      <c r="D32" s="91">
        <v>8</v>
      </c>
      <c r="E32" s="92"/>
      <c r="F32" s="87"/>
      <c r="G32" s="91">
        <f>0.5</f>
        <v>0.5</v>
      </c>
      <c r="H32" s="93"/>
      <c r="I32" s="89">
        <f t="shared" si="0"/>
        <v>0.5</v>
      </c>
    </row>
    <row r="33" spans="1:9" ht="18" x14ac:dyDescent="0.25">
      <c r="A33" s="54">
        <v>29</v>
      </c>
      <c r="B33" s="70" t="s">
        <v>129</v>
      </c>
      <c r="C33" s="87" t="s">
        <v>5</v>
      </c>
      <c r="D33" s="91">
        <v>9</v>
      </c>
      <c r="E33" s="92">
        <v>8</v>
      </c>
      <c r="F33" s="87"/>
      <c r="G33" s="91">
        <f>0</f>
        <v>0</v>
      </c>
      <c r="H33" s="93">
        <f>0.5</f>
        <v>0.5</v>
      </c>
      <c r="I33" s="89">
        <f t="shared" si="0"/>
        <v>0.5</v>
      </c>
    </row>
    <row r="34" spans="1:9" ht="18" x14ac:dyDescent="0.25">
      <c r="A34" s="54">
        <v>30</v>
      </c>
      <c r="B34" s="76" t="s">
        <v>135</v>
      </c>
      <c r="C34" s="88" t="s">
        <v>5</v>
      </c>
      <c r="D34" s="88">
        <v>10</v>
      </c>
      <c r="E34" s="88">
        <v>9</v>
      </c>
      <c r="F34" s="119"/>
      <c r="G34" s="88">
        <f>0</f>
        <v>0</v>
      </c>
      <c r="H34" s="88">
        <f>0</f>
        <v>0</v>
      </c>
      <c r="I34" s="89">
        <f t="shared" si="0"/>
        <v>0</v>
      </c>
    </row>
    <row r="35" spans="1:9" ht="18" x14ac:dyDescent="0.25">
      <c r="A35" s="54"/>
      <c r="B35" s="104"/>
      <c r="C35" s="93"/>
      <c r="D35" s="96"/>
      <c r="E35" s="96"/>
      <c r="F35" s="96"/>
      <c r="G35" s="96"/>
      <c r="H35" s="96"/>
      <c r="I35" s="88"/>
    </row>
    <row r="36" spans="1:9" ht="18" x14ac:dyDescent="0.25">
      <c r="A36" s="56"/>
      <c r="B36" s="78"/>
      <c r="C36" s="93"/>
      <c r="D36" s="93"/>
      <c r="E36" s="93"/>
      <c r="F36" s="93"/>
      <c r="G36" s="93"/>
      <c r="H36" s="93"/>
      <c r="I36" s="88"/>
    </row>
    <row r="37" spans="1:9" ht="21" customHeight="1" x14ac:dyDescent="0.25">
      <c r="A37" s="54"/>
      <c r="B37" s="43"/>
      <c r="C37" s="87"/>
      <c r="D37" s="93"/>
      <c r="E37" s="93"/>
      <c r="F37" s="93"/>
      <c r="G37" s="93"/>
      <c r="H37" s="93"/>
      <c r="I37" s="88"/>
    </row>
    <row r="38" spans="1:9" ht="18" hidden="1" x14ac:dyDescent="0.25">
      <c r="A38" s="54">
        <v>34</v>
      </c>
    </row>
    <row r="39" spans="1:9" ht="18" hidden="1" x14ac:dyDescent="0.25">
      <c r="A39" s="75">
        <v>35</v>
      </c>
      <c r="B39" s="78"/>
      <c r="C39" s="93"/>
      <c r="D39" s="93"/>
      <c r="E39" s="93"/>
      <c r="F39" s="93"/>
      <c r="G39" s="93"/>
      <c r="H39" s="93"/>
      <c r="I39" s="88"/>
    </row>
    <row r="40" spans="1:9" hidden="1" x14ac:dyDescent="0.25">
      <c r="A40" s="35"/>
      <c r="B40" s="35"/>
      <c r="C40" s="35"/>
      <c r="D40" s="35"/>
      <c r="E40" s="35"/>
      <c r="F40" s="35"/>
      <c r="G40" s="35"/>
      <c r="H40" s="35"/>
      <c r="I40" s="35"/>
    </row>
  </sheetData>
  <sortState ref="B6:I34">
    <sortCondition descending="1" ref="I5:I34"/>
  </sortState>
  <mergeCells count="6">
    <mergeCell ref="A1:I2"/>
    <mergeCell ref="A3:A4"/>
    <mergeCell ref="B3:B4"/>
    <mergeCell ref="D3:E3"/>
    <mergeCell ref="F3:H3"/>
    <mergeCell ref="I3:I4"/>
  </mergeCells>
  <pageMargins left="0.70866141732283472" right="0.70866141732283472" top="0.74803149606299213" bottom="0.74803149606299213" header="0.31496062992125984" footer="0.31496062992125984"/>
  <pageSetup paperSize="9" scale="72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zoomScale="50" zoomScaleNormal="50" workbookViewId="0">
      <selection activeCell="B8" sqref="B8"/>
    </sheetView>
  </sheetViews>
  <sheetFormatPr defaultRowHeight="15" x14ac:dyDescent="0.25"/>
  <cols>
    <col min="1" max="1" width="5.140625" customWidth="1"/>
    <col min="2" max="2" width="57.85546875" customWidth="1"/>
    <col min="3" max="3" width="7.7109375" customWidth="1"/>
  </cols>
  <sheetData>
    <row r="1" spans="1:9" x14ac:dyDescent="0.25">
      <c r="A1" s="167" t="s">
        <v>142</v>
      </c>
      <c r="B1" s="168"/>
      <c r="C1" s="168"/>
      <c r="D1" s="168"/>
      <c r="E1" s="168"/>
      <c r="F1" s="168"/>
      <c r="G1" s="168"/>
      <c r="H1" s="168"/>
      <c r="I1" s="169"/>
    </row>
    <row r="2" spans="1:9" ht="15.75" thickBot="1" x14ac:dyDescent="0.3">
      <c r="A2" s="170"/>
      <c r="B2" s="158"/>
      <c r="C2" s="158"/>
      <c r="D2" s="158"/>
      <c r="E2" s="158"/>
      <c r="F2" s="158"/>
      <c r="G2" s="158"/>
      <c r="H2" s="158"/>
      <c r="I2" s="171"/>
    </row>
    <row r="3" spans="1:9" ht="16.5" thickBot="1" x14ac:dyDescent="0.3">
      <c r="A3" s="159"/>
      <c r="B3" s="161" t="s">
        <v>0</v>
      </c>
      <c r="C3" s="1" t="s">
        <v>1</v>
      </c>
      <c r="D3" s="172" t="s">
        <v>63</v>
      </c>
      <c r="E3" s="173"/>
      <c r="F3" s="164" t="s">
        <v>2</v>
      </c>
      <c r="G3" s="164"/>
      <c r="H3" s="164"/>
      <c r="I3" s="165" t="s">
        <v>3</v>
      </c>
    </row>
    <row r="4" spans="1:9" ht="16.5" thickBot="1" x14ac:dyDescent="0.3">
      <c r="A4" s="160"/>
      <c r="B4" s="162"/>
      <c r="C4" s="49" t="s">
        <v>4</v>
      </c>
      <c r="D4" s="3">
        <v>1</v>
      </c>
      <c r="E4" s="4">
        <v>2</v>
      </c>
      <c r="F4" s="5">
        <v>0</v>
      </c>
      <c r="G4" s="6">
        <v>1</v>
      </c>
      <c r="H4" s="130">
        <v>2</v>
      </c>
      <c r="I4" s="166"/>
    </row>
    <row r="5" spans="1:9" ht="18" x14ac:dyDescent="0.25">
      <c r="A5" s="131">
        <v>1</v>
      </c>
      <c r="B5" s="132" t="s">
        <v>73</v>
      </c>
      <c r="C5" s="133">
        <v>12.5</v>
      </c>
      <c r="D5" s="141">
        <v>4</v>
      </c>
      <c r="E5" s="135">
        <v>10</v>
      </c>
      <c r="F5" s="133">
        <v>2.5</v>
      </c>
      <c r="G5" s="134">
        <f>14+4.2+2</f>
        <v>20.2</v>
      </c>
      <c r="H5" s="146">
        <f>10.5+2</f>
        <v>12.5</v>
      </c>
      <c r="I5" s="136">
        <f t="shared" ref="I5:I43" si="0">SUM(F5:H5)</f>
        <v>35.200000000000003</v>
      </c>
    </row>
    <row r="6" spans="1:9" ht="18" x14ac:dyDescent="0.25">
      <c r="A6" s="54">
        <v>2</v>
      </c>
      <c r="B6" s="70" t="s">
        <v>72</v>
      </c>
      <c r="C6" s="87" t="s">
        <v>5</v>
      </c>
      <c r="D6" s="142">
        <v>2</v>
      </c>
      <c r="E6" s="92">
        <v>7</v>
      </c>
      <c r="F6" s="87"/>
      <c r="G6" s="91">
        <f>16+0.7+2.5</f>
        <v>19.2</v>
      </c>
      <c r="H6" s="98">
        <f>12+2.1</f>
        <v>14.1</v>
      </c>
      <c r="I6" s="89">
        <f t="shared" si="0"/>
        <v>33.299999999999997</v>
      </c>
    </row>
    <row r="7" spans="1:9" ht="18" x14ac:dyDescent="0.25">
      <c r="A7" s="54">
        <v>3</v>
      </c>
      <c r="B7" s="43" t="s">
        <v>74</v>
      </c>
      <c r="C7" s="125"/>
      <c r="D7" s="142">
        <v>3</v>
      </c>
      <c r="E7" s="92">
        <v>2</v>
      </c>
      <c r="F7" s="87"/>
      <c r="G7" s="91">
        <f>15+0.7</f>
        <v>15.7</v>
      </c>
      <c r="H7" s="98">
        <f>16+1.4</f>
        <v>17.399999999999999</v>
      </c>
      <c r="I7" s="89">
        <f t="shared" si="0"/>
        <v>33.099999999999994</v>
      </c>
    </row>
    <row r="8" spans="1:9" ht="18" x14ac:dyDescent="0.25">
      <c r="A8" s="54">
        <v>4</v>
      </c>
      <c r="B8" s="77" t="s">
        <v>143</v>
      </c>
      <c r="C8" s="87">
        <v>20</v>
      </c>
      <c r="D8" s="142">
        <v>9</v>
      </c>
      <c r="E8" s="92">
        <v>5</v>
      </c>
      <c r="F8" s="87">
        <v>1.5</v>
      </c>
      <c r="G8" s="91">
        <f>11+1.5</f>
        <v>12.5</v>
      </c>
      <c r="H8" s="98">
        <f>13+2.1+2.5</f>
        <v>17.600000000000001</v>
      </c>
      <c r="I8" s="89">
        <f t="shared" si="0"/>
        <v>31.6</v>
      </c>
    </row>
    <row r="9" spans="1:9" ht="18" x14ac:dyDescent="0.25">
      <c r="A9" s="54">
        <v>5</v>
      </c>
      <c r="B9" s="43" t="s">
        <v>80</v>
      </c>
      <c r="C9" s="87" t="s">
        <v>5</v>
      </c>
      <c r="D9" s="129">
        <v>2</v>
      </c>
      <c r="E9" s="145">
        <v>1</v>
      </c>
      <c r="F9" s="125"/>
      <c r="G9" s="140">
        <f>10.5+3</f>
        <v>13.5</v>
      </c>
      <c r="H9" s="137">
        <v>17</v>
      </c>
      <c r="I9" s="89">
        <f t="shared" si="0"/>
        <v>30.5</v>
      </c>
    </row>
    <row r="10" spans="1:9" ht="18" x14ac:dyDescent="0.25">
      <c r="A10" s="54">
        <v>6</v>
      </c>
      <c r="B10" s="73" t="s">
        <v>97</v>
      </c>
      <c r="C10" s="87"/>
      <c r="D10" s="143">
        <v>1</v>
      </c>
      <c r="E10" s="95">
        <v>9</v>
      </c>
      <c r="F10" s="90"/>
      <c r="G10" s="94">
        <f>17+0.5</f>
        <v>17.5</v>
      </c>
      <c r="H10" s="144">
        <f>11+1.5</f>
        <v>12.5</v>
      </c>
      <c r="I10" s="89">
        <f t="shared" si="0"/>
        <v>30</v>
      </c>
    </row>
    <row r="11" spans="1:9" ht="18" x14ac:dyDescent="0.25">
      <c r="A11" s="54">
        <v>7</v>
      </c>
      <c r="B11" s="70" t="s">
        <v>76</v>
      </c>
      <c r="C11" s="87">
        <v>15</v>
      </c>
      <c r="D11" s="143">
        <v>5</v>
      </c>
      <c r="E11" s="95">
        <v>6</v>
      </c>
      <c r="F11" s="90">
        <v>2</v>
      </c>
      <c r="G11" s="94">
        <f>13+2.8-3+1</f>
        <v>13.8</v>
      </c>
      <c r="H11" s="144">
        <f>12.5+0.7+1</f>
        <v>14.2</v>
      </c>
      <c r="I11" s="89">
        <f t="shared" si="0"/>
        <v>30</v>
      </c>
    </row>
    <row r="12" spans="1:9" ht="18" x14ac:dyDescent="0.25">
      <c r="A12" s="54">
        <v>8</v>
      </c>
      <c r="B12" s="43" t="s">
        <v>77</v>
      </c>
      <c r="C12" s="90" t="s">
        <v>5</v>
      </c>
      <c r="D12" s="142">
        <v>6</v>
      </c>
      <c r="E12" s="92">
        <v>3</v>
      </c>
      <c r="F12" s="87">
        <v>0.5</v>
      </c>
      <c r="G12" s="91">
        <f>12.5</f>
        <v>12.5</v>
      </c>
      <c r="H12" s="98">
        <f>15+1.4-2</f>
        <v>14.399999999999999</v>
      </c>
      <c r="I12" s="89">
        <f t="shared" si="0"/>
        <v>27.4</v>
      </c>
    </row>
    <row r="13" spans="1:9" ht="18" x14ac:dyDescent="0.25">
      <c r="A13" s="54">
        <v>9</v>
      </c>
      <c r="B13" s="43" t="s">
        <v>131</v>
      </c>
      <c r="C13" s="87" t="s">
        <v>5</v>
      </c>
      <c r="D13" s="138">
        <v>8</v>
      </c>
      <c r="E13" s="149">
        <v>4</v>
      </c>
      <c r="F13" s="150">
        <v>1</v>
      </c>
      <c r="G13" s="151">
        <f>11.5</f>
        <v>11.5</v>
      </c>
      <c r="H13" s="152">
        <v>14</v>
      </c>
      <c r="I13" s="89">
        <f t="shared" si="0"/>
        <v>26.5</v>
      </c>
    </row>
    <row r="14" spans="1:9" ht="18" x14ac:dyDescent="0.25">
      <c r="A14" s="54">
        <v>10</v>
      </c>
      <c r="B14" s="43" t="s">
        <v>145</v>
      </c>
      <c r="C14" s="122"/>
      <c r="D14" s="138">
        <v>8</v>
      </c>
      <c r="E14" s="149">
        <v>1</v>
      </c>
      <c r="F14" s="150"/>
      <c r="G14" s="151">
        <f>6+1</f>
        <v>7</v>
      </c>
      <c r="H14" s="152">
        <f>11.5+0.5</f>
        <v>12</v>
      </c>
      <c r="I14" s="89">
        <f t="shared" si="0"/>
        <v>19</v>
      </c>
    </row>
    <row r="15" spans="1:9" ht="18" x14ac:dyDescent="0.25">
      <c r="A15" s="54">
        <v>11</v>
      </c>
      <c r="B15" s="70" t="s">
        <v>70</v>
      </c>
      <c r="C15" s="87" t="s">
        <v>5</v>
      </c>
      <c r="D15" s="142">
        <v>1</v>
      </c>
      <c r="E15" s="92">
        <v>3</v>
      </c>
      <c r="F15" s="87"/>
      <c r="G15" s="91">
        <f>11.5+3-7</f>
        <v>7.5</v>
      </c>
      <c r="H15" s="98">
        <f>9.5+1.5</f>
        <v>11</v>
      </c>
      <c r="I15" s="89">
        <f t="shared" si="0"/>
        <v>18.5</v>
      </c>
    </row>
    <row r="16" spans="1:9" ht="18" x14ac:dyDescent="0.25">
      <c r="A16" s="54">
        <v>12</v>
      </c>
      <c r="B16" s="70" t="s">
        <v>132</v>
      </c>
      <c r="C16" s="90" t="s">
        <v>5</v>
      </c>
      <c r="D16" s="142">
        <v>10</v>
      </c>
      <c r="E16" s="92">
        <v>2</v>
      </c>
      <c r="F16" s="87"/>
      <c r="G16" s="91">
        <f>10.5</f>
        <v>10.5</v>
      </c>
      <c r="H16" s="98">
        <f>5+2.5</f>
        <v>7.5</v>
      </c>
      <c r="I16" s="89">
        <f t="shared" si="0"/>
        <v>18</v>
      </c>
    </row>
    <row r="17" spans="1:9" ht="18" x14ac:dyDescent="0.25">
      <c r="A17" s="54">
        <v>13</v>
      </c>
      <c r="B17" s="70" t="s">
        <v>84</v>
      </c>
      <c r="C17" s="122"/>
      <c r="D17" s="142">
        <v>7</v>
      </c>
      <c r="E17" s="92">
        <v>6</v>
      </c>
      <c r="F17" s="87"/>
      <c r="G17" s="91">
        <f>12</f>
        <v>12</v>
      </c>
      <c r="H17" s="98">
        <f>7+0.7-3</f>
        <v>4.7</v>
      </c>
      <c r="I17" s="89">
        <f t="shared" si="0"/>
        <v>16.7</v>
      </c>
    </row>
    <row r="18" spans="1:9" ht="18" x14ac:dyDescent="0.25">
      <c r="A18" s="54">
        <v>14</v>
      </c>
      <c r="B18" s="43" t="s">
        <v>15</v>
      </c>
      <c r="C18" s="87"/>
      <c r="D18" s="138">
        <v>4</v>
      </c>
      <c r="E18" s="149">
        <v>8</v>
      </c>
      <c r="F18" s="122"/>
      <c r="G18" s="151">
        <f>8.5</f>
        <v>8.5</v>
      </c>
      <c r="H18" s="152">
        <f>6</f>
        <v>6</v>
      </c>
      <c r="I18" s="89">
        <f t="shared" si="0"/>
        <v>14.5</v>
      </c>
    </row>
    <row r="19" spans="1:9" ht="18" x14ac:dyDescent="0.25">
      <c r="A19" s="54">
        <v>15</v>
      </c>
      <c r="B19" s="124" t="s">
        <v>116</v>
      </c>
      <c r="C19" s="87" t="s">
        <v>5</v>
      </c>
      <c r="D19" s="142">
        <v>6</v>
      </c>
      <c r="E19" s="92">
        <v>10</v>
      </c>
      <c r="F19" s="87"/>
      <c r="G19" s="91">
        <f>7+1.5</f>
        <v>8.5</v>
      </c>
      <c r="H19" s="98">
        <v>5</v>
      </c>
      <c r="I19" s="89">
        <f t="shared" si="0"/>
        <v>13.5</v>
      </c>
    </row>
    <row r="20" spans="1:9" ht="18" x14ac:dyDescent="0.25">
      <c r="A20" s="54">
        <v>16</v>
      </c>
      <c r="B20" s="43" t="s">
        <v>157</v>
      </c>
      <c r="C20" s="87"/>
      <c r="D20" s="142">
        <v>7</v>
      </c>
      <c r="E20" s="92">
        <v>8</v>
      </c>
      <c r="F20" s="87"/>
      <c r="G20" s="91">
        <f>6.5-5</f>
        <v>1.5</v>
      </c>
      <c r="H20" s="98">
        <f>11.5</f>
        <v>11.5</v>
      </c>
      <c r="I20" s="89">
        <f t="shared" si="0"/>
        <v>13</v>
      </c>
    </row>
    <row r="21" spans="1:9" ht="18" x14ac:dyDescent="0.25">
      <c r="A21" s="54">
        <v>17</v>
      </c>
      <c r="B21" s="72" t="s">
        <v>123</v>
      </c>
      <c r="C21" s="87"/>
      <c r="D21" s="142">
        <v>3</v>
      </c>
      <c r="E21" s="92">
        <v>4</v>
      </c>
      <c r="F21" s="87"/>
      <c r="G21" s="91">
        <f>9.5-4-5</f>
        <v>0.5</v>
      </c>
      <c r="H21" s="98">
        <f>8.5+2.5+0.5</f>
        <v>11.5</v>
      </c>
      <c r="I21" s="89">
        <f t="shared" si="0"/>
        <v>12</v>
      </c>
    </row>
    <row r="22" spans="1:9" ht="18" x14ac:dyDescent="0.25">
      <c r="A22" s="54">
        <v>18</v>
      </c>
      <c r="B22" s="71" t="s">
        <v>154</v>
      </c>
      <c r="C22" s="122"/>
      <c r="D22" s="142">
        <v>4</v>
      </c>
      <c r="E22" s="92">
        <v>5</v>
      </c>
      <c r="F22" s="87"/>
      <c r="G22" s="91">
        <f>3+1.5</f>
        <v>4.5</v>
      </c>
      <c r="H22" s="98">
        <f>7.5</f>
        <v>7.5</v>
      </c>
      <c r="I22" s="89">
        <f t="shared" si="0"/>
        <v>12</v>
      </c>
    </row>
    <row r="23" spans="1:9" ht="18" x14ac:dyDescent="0.25">
      <c r="A23" s="54">
        <v>19</v>
      </c>
      <c r="B23" s="103" t="s">
        <v>99</v>
      </c>
      <c r="C23" s="87">
        <v>22.5</v>
      </c>
      <c r="D23" s="142">
        <v>9</v>
      </c>
      <c r="E23" s="92">
        <v>1</v>
      </c>
      <c r="F23" s="87"/>
      <c r="G23" s="91">
        <f>5.5</f>
        <v>5.5</v>
      </c>
      <c r="H23" s="98">
        <f>6</f>
        <v>6</v>
      </c>
      <c r="I23" s="89">
        <f t="shared" si="0"/>
        <v>11.5</v>
      </c>
    </row>
    <row r="24" spans="1:9" ht="18" x14ac:dyDescent="0.25">
      <c r="A24" s="54">
        <v>20</v>
      </c>
      <c r="B24" s="43" t="s">
        <v>159</v>
      </c>
      <c r="C24" s="87" t="s">
        <v>5</v>
      </c>
      <c r="D24" s="143">
        <v>5</v>
      </c>
      <c r="E24" s="95">
        <v>6</v>
      </c>
      <c r="F24" s="90"/>
      <c r="G24" s="94">
        <f>7.5</f>
        <v>7.5</v>
      </c>
      <c r="H24" s="144">
        <f>1.5+1.5</f>
        <v>3</v>
      </c>
      <c r="I24" s="89">
        <f t="shared" si="0"/>
        <v>10.5</v>
      </c>
    </row>
    <row r="25" spans="1:9" ht="18" x14ac:dyDescent="0.25">
      <c r="A25" s="54">
        <v>21</v>
      </c>
      <c r="B25" s="43" t="s">
        <v>121</v>
      </c>
      <c r="C25" s="87"/>
      <c r="D25" s="138">
        <v>10</v>
      </c>
      <c r="E25" s="149">
        <v>2</v>
      </c>
      <c r="F25" s="150"/>
      <c r="G25" s="151">
        <v>0</v>
      </c>
      <c r="H25" s="152">
        <f>10.5</f>
        <v>10.5</v>
      </c>
      <c r="I25" s="89">
        <f t="shared" si="0"/>
        <v>10.5</v>
      </c>
    </row>
    <row r="26" spans="1:9" ht="18" x14ac:dyDescent="0.25">
      <c r="A26" s="54">
        <v>22</v>
      </c>
      <c r="B26" s="70" t="s">
        <v>115</v>
      </c>
      <c r="C26" s="90" t="s">
        <v>5</v>
      </c>
      <c r="D26" s="142">
        <v>6</v>
      </c>
      <c r="E26" s="92">
        <v>7</v>
      </c>
      <c r="F26" s="87"/>
      <c r="G26" s="91">
        <f>1.5+1.5-3</f>
        <v>0</v>
      </c>
      <c r="H26" s="98">
        <f>6.5+1.5</f>
        <v>8</v>
      </c>
      <c r="I26" s="89">
        <f t="shared" si="0"/>
        <v>8</v>
      </c>
    </row>
    <row r="27" spans="1:9" ht="18" x14ac:dyDescent="0.25">
      <c r="A27" s="54">
        <v>23</v>
      </c>
      <c r="B27" s="43" t="s">
        <v>113</v>
      </c>
      <c r="C27" s="87">
        <v>5</v>
      </c>
      <c r="D27" s="142">
        <v>1</v>
      </c>
      <c r="E27" s="92">
        <v>5</v>
      </c>
      <c r="F27" s="87"/>
      <c r="G27" s="91">
        <v>6</v>
      </c>
      <c r="H27" s="98">
        <v>2</v>
      </c>
      <c r="I27" s="89">
        <f t="shared" si="0"/>
        <v>8</v>
      </c>
    </row>
    <row r="28" spans="1:9" ht="18" x14ac:dyDescent="0.25">
      <c r="A28" s="54">
        <v>24</v>
      </c>
      <c r="B28" s="70" t="s">
        <v>155</v>
      </c>
      <c r="C28" s="90"/>
      <c r="D28" s="142">
        <v>10</v>
      </c>
      <c r="E28" s="92">
        <v>9</v>
      </c>
      <c r="F28" s="87"/>
      <c r="G28" s="91">
        <v>5</v>
      </c>
      <c r="H28" s="98">
        <v>0</v>
      </c>
      <c r="I28" s="89">
        <f t="shared" si="0"/>
        <v>5</v>
      </c>
    </row>
    <row r="29" spans="1:9" ht="18" x14ac:dyDescent="0.25">
      <c r="A29" s="54">
        <v>25</v>
      </c>
      <c r="B29" s="103" t="s">
        <v>110</v>
      </c>
      <c r="C29" s="87">
        <v>7.5</v>
      </c>
      <c r="D29" s="138">
        <v>3</v>
      </c>
      <c r="E29" s="149">
        <v>8</v>
      </c>
      <c r="F29" s="150"/>
      <c r="G29" s="151">
        <f>4+0.5</f>
        <v>4.5</v>
      </c>
      <c r="H29" s="152">
        <v>0.5</v>
      </c>
      <c r="I29" s="89">
        <f t="shared" si="0"/>
        <v>5</v>
      </c>
    </row>
    <row r="30" spans="1:9" ht="18" x14ac:dyDescent="0.25">
      <c r="A30" s="54">
        <v>26</v>
      </c>
      <c r="B30" s="70" t="s">
        <v>104</v>
      </c>
      <c r="C30" s="87"/>
      <c r="D30" s="143">
        <v>2</v>
      </c>
      <c r="E30" s="95">
        <v>3</v>
      </c>
      <c r="F30" s="90"/>
      <c r="G30" s="94">
        <v>5</v>
      </c>
      <c r="H30" s="144">
        <f>4-5-3</f>
        <v>-4</v>
      </c>
      <c r="I30" s="89">
        <f t="shared" si="0"/>
        <v>1</v>
      </c>
    </row>
    <row r="31" spans="1:9" ht="18" x14ac:dyDescent="0.25">
      <c r="A31" s="54">
        <v>27</v>
      </c>
      <c r="B31" s="70" t="s">
        <v>88</v>
      </c>
      <c r="C31" s="122"/>
      <c r="D31" s="142">
        <v>7</v>
      </c>
      <c r="E31" s="92">
        <v>10</v>
      </c>
      <c r="F31" s="87"/>
      <c r="G31" s="91">
        <v>1</v>
      </c>
      <c r="H31" s="98">
        <v>0</v>
      </c>
      <c r="I31" s="89">
        <f t="shared" si="0"/>
        <v>1</v>
      </c>
    </row>
    <row r="32" spans="1:9" ht="18" x14ac:dyDescent="0.25">
      <c r="A32" s="54">
        <v>28</v>
      </c>
      <c r="B32" s="103" t="s">
        <v>158</v>
      </c>
      <c r="C32" s="90" t="s">
        <v>5</v>
      </c>
      <c r="D32" s="129">
        <v>8</v>
      </c>
      <c r="E32" s="145">
        <v>9</v>
      </c>
      <c r="F32" s="125"/>
      <c r="G32" s="140">
        <f>0.5-2</f>
        <v>-1.5</v>
      </c>
      <c r="H32" s="137">
        <f>5.5-3</f>
        <v>2.5</v>
      </c>
      <c r="I32" s="89">
        <f t="shared" si="0"/>
        <v>1</v>
      </c>
    </row>
    <row r="33" spans="1:9" ht="18" x14ac:dyDescent="0.25">
      <c r="A33" s="54">
        <v>29</v>
      </c>
      <c r="B33" s="121" t="s">
        <v>147</v>
      </c>
      <c r="C33" s="87" t="s">
        <v>5</v>
      </c>
      <c r="D33" s="142">
        <v>9</v>
      </c>
      <c r="E33" s="92">
        <v>7</v>
      </c>
      <c r="F33" s="87"/>
      <c r="G33" s="91">
        <v>0</v>
      </c>
      <c r="H33" s="98">
        <f>1+0.5-2</f>
        <v>-0.5</v>
      </c>
      <c r="I33" s="89">
        <f t="shared" si="0"/>
        <v>-0.5</v>
      </c>
    </row>
    <row r="34" spans="1:9" ht="18" x14ac:dyDescent="0.25">
      <c r="A34" s="54">
        <v>30</v>
      </c>
      <c r="B34" s="43" t="s">
        <v>156</v>
      </c>
      <c r="C34" s="109">
        <v>7.5</v>
      </c>
      <c r="D34" s="155">
        <v>5</v>
      </c>
      <c r="E34" s="107">
        <v>4</v>
      </c>
      <c r="F34" s="109"/>
      <c r="G34" s="105">
        <v>2</v>
      </c>
      <c r="H34" s="156">
        <f>3-5-2</f>
        <v>-4</v>
      </c>
      <c r="I34" s="89">
        <f t="shared" si="0"/>
        <v>-2</v>
      </c>
    </row>
    <row r="35" spans="1:9" ht="18" x14ac:dyDescent="0.25">
      <c r="A35" s="54">
        <v>31</v>
      </c>
      <c r="B35" s="71" t="s">
        <v>148</v>
      </c>
      <c r="C35" s="87"/>
      <c r="D35" s="142"/>
      <c r="E35" s="92"/>
      <c r="F35" s="87"/>
      <c r="G35" s="91"/>
      <c r="H35" s="98"/>
      <c r="I35" s="89">
        <f t="shared" si="0"/>
        <v>0</v>
      </c>
    </row>
    <row r="36" spans="1:9" ht="18" x14ac:dyDescent="0.25">
      <c r="A36" s="56">
        <v>32</v>
      </c>
      <c r="B36" s="103" t="s">
        <v>152</v>
      </c>
      <c r="C36" s="87">
        <v>5</v>
      </c>
      <c r="D36" s="142"/>
      <c r="E36" s="92"/>
      <c r="F36" s="87"/>
      <c r="G36" s="91"/>
      <c r="H36" s="98"/>
      <c r="I36" s="89">
        <f t="shared" si="0"/>
        <v>0</v>
      </c>
    </row>
    <row r="37" spans="1:9" ht="21" customHeight="1" x14ac:dyDescent="0.25">
      <c r="A37" s="123">
        <v>33</v>
      </c>
      <c r="B37" s="43" t="s">
        <v>144</v>
      </c>
      <c r="C37" s="125"/>
      <c r="D37" s="142"/>
      <c r="E37" s="92"/>
      <c r="F37" s="87"/>
      <c r="G37" s="91"/>
      <c r="H37" s="98"/>
      <c r="I37" s="89">
        <f t="shared" si="0"/>
        <v>0</v>
      </c>
    </row>
    <row r="38" spans="1:9" ht="18" x14ac:dyDescent="0.25">
      <c r="A38" s="128">
        <v>34</v>
      </c>
      <c r="B38" s="148" t="s">
        <v>151</v>
      </c>
      <c r="C38" s="90">
        <v>12.5</v>
      </c>
      <c r="D38" s="142"/>
      <c r="E38" s="92"/>
      <c r="F38" s="87"/>
      <c r="G38" s="91"/>
      <c r="H38" s="98"/>
      <c r="I38" s="89">
        <f t="shared" si="0"/>
        <v>0</v>
      </c>
    </row>
    <row r="39" spans="1:9" ht="18" x14ac:dyDescent="0.25">
      <c r="A39" s="139">
        <v>35</v>
      </c>
      <c r="B39" s="71" t="s">
        <v>106</v>
      </c>
      <c r="C39" s="87" t="s">
        <v>5</v>
      </c>
      <c r="D39" s="143"/>
      <c r="E39" s="95"/>
      <c r="F39" s="90"/>
      <c r="G39" s="94"/>
      <c r="H39" s="144"/>
      <c r="I39" s="89">
        <f t="shared" si="0"/>
        <v>0</v>
      </c>
    </row>
    <row r="40" spans="1:9" ht="18" x14ac:dyDescent="0.25">
      <c r="A40" s="103">
        <v>36</v>
      </c>
      <c r="B40" s="70" t="s">
        <v>153</v>
      </c>
      <c r="C40" s="87">
        <v>12.5</v>
      </c>
      <c r="D40" s="143"/>
      <c r="E40" s="95"/>
      <c r="F40" s="90"/>
      <c r="G40" s="94"/>
      <c r="H40" s="144"/>
      <c r="I40" s="89">
        <f t="shared" si="0"/>
        <v>0</v>
      </c>
    </row>
    <row r="41" spans="1:9" ht="18" x14ac:dyDescent="0.25">
      <c r="A41" s="103">
        <v>37</v>
      </c>
      <c r="B41" s="77" t="s">
        <v>146</v>
      </c>
      <c r="C41" s="87">
        <v>5</v>
      </c>
      <c r="D41" s="142"/>
      <c r="E41" s="92"/>
      <c r="F41" s="87"/>
      <c r="G41" s="91"/>
      <c r="H41" s="98"/>
      <c r="I41" s="89">
        <f t="shared" si="0"/>
        <v>0</v>
      </c>
    </row>
    <row r="42" spans="1:9" ht="18" x14ac:dyDescent="0.25">
      <c r="A42" s="103">
        <v>38</v>
      </c>
      <c r="B42" s="43" t="s">
        <v>149</v>
      </c>
      <c r="C42" s="90"/>
      <c r="D42" s="143"/>
      <c r="E42" s="95"/>
      <c r="F42" s="90"/>
      <c r="G42" s="94"/>
      <c r="H42" s="144"/>
      <c r="I42" s="89">
        <f t="shared" si="0"/>
        <v>0</v>
      </c>
    </row>
    <row r="43" spans="1:9" ht="18.75" thickBot="1" x14ac:dyDescent="0.3">
      <c r="A43" s="120">
        <v>39</v>
      </c>
      <c r="B43" s="120" t="s">
        <v>150</v>
      </c>
      <c r="C43" s="147"/>
      <c r="D43" s="153"/>
      <c r="E43" s="116"/>
      <c r="F43" s="154"/>
      <c r="G43" s="115"/>
      <c r="H43" s="101"/>
      <c r="I43" s="89">
        <f t="shared" si="0"/>
        <v>0</v>
      </c>
    </row>
    <row r="44" spans="1:9" ht="18" x14ac:dyDescent="0.25">
      <c r="A44" s="126"/>
      <c r="B44" s="126"/>
      <c r="C44" s="126"/>
      <c r="D44" s="126"/>
      <c r="E44" s="126"/>
      <c r="F44" s="126"/>
      <c r="G44" s="126"/>
      <c r="H44" s="126"/>
      <c r="I44" s="126"/>
    </row>
    <row r="45" spans="1:9" ht="18" x14ac:dyDescent="0.25">
      <c r="A45" s="126"/>
      <c r="B45" s="126"/>
      <c r="C45" s="126"/>
      <c r="D45" s="126"/>
      <c r="E45" s="126"/>
      <c r="F45" s="126"/>
      <c r="G45" s="126"/>
      <c r="H45" s="126"/>
      <c r="I45" s="126"/>
    </row>
    <row r="46" spans="1:9" ht="18" x14ac:dyDescent="0.25">
      <c r="A46" s="126"/>
      <c r="B46" s="126"/>
      <c r="C46" s="126"/>
      <c r="D46" s="126"/>
      <c r="E46" s="126"/>
      <c r="F46" s="126"/>
      <c r="G46" s="126"/>
      <c r="H46" s="126"/>
      <c r="I46" s="126"/>
    </row>
    <row r="47" spans="1:9" ht="18" x14ac:dyDescent="0.25">
      <c r="A47" s="126"/>
      <c r="B47" s="126"/>
      <c r="C47" s="126"/>
      <c r="D47" s="126"/>
      <c r="E47" s="126"/>
      <c r="F47" s="126"/>
      <c r="G47" s="126"/>
      <c r="H47" s="126"/>
      <c r="I47" s="126"/>
    </row>
    <row r="48" spans="1:9" ht="18" x14ac:dyDescent="0.25">
      <c r="A48" s="126"/>
      <c r="B48" s="126"/>
      <c r="C48" s="126"/>
      <c r="D48" s="126"/>
      <c r="E48" s="126"/>
      <c r="F48" s="126"/>
      <c r="G48" s="126"/>
      <c r="H48" s="126"/>
      <c r="I48" s="126"/>
    </row>
    <row r="49" spans="1:9" x14ac:dyDescent="0.25">
      <c r="A49" s="127"/>
      <c r="B49" s="127"/>
      <c r="C49" s="127"/>
      <c r="D49" s="127"/>
      <c r="E49" s="127"/>
      <c r="F49" s="127"/>
      <c r="G49" s="127"/>
      <c r="H49" s="127"/>
      <c r="I49" s="127"/>
    </row>
  </sheetData>
  <sortState ref="B33:I34">
    <sortCondition descending="1" ref="I33:I34"/>
  </sortState>
  <mergeCells count="6">
    <mergeCell ref="A1:I2"/>
    <mergeCell ref="A3:A4"/>
    <mergeCell ref="B3:B4"/>
    <mergeCell ref="D3:E3"/>
    <mergeCell ref="F3:H3"/>
    <mergeCell ref="I3:I4"/>
  </mergeCells>
  <pageMargins left="0.70866141732283472" right="0.70866141732283472" top="0.74803149606299213" bottom="0.74803149606299213" header="0.31496062992125984" footer="0.31496062992125984"/>
  <pageSetup paperSize="9" scale="6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zoomScale="60" zoomScaleNormal="60" workbookViewId="0">
      <selection activeCell="B5" sqref="B5"/>
    </sheetView>
  </sheetViews>
  <sheetFormatPr defaultRowHeight="15" x14ac:dyDescent="0.25"/>
  <cols>
    <col min="1" max="1" width="5.140625" customWidth="1"/>
    <col min="2" max="2" width="57.85546875" customWidth="1"/>
    <col min="3" max="3" width="7.7109375" customWidth="1"/>
  </cols>
  <sheetData>
    <row r="1" spans="1:9" x14ac:dyDescent="0.25">
      <c r="A1" s="167" t="s">
        <v>142</v>
      </c>
      <c r="B1" s="168"/>
      <c r="C1" s="168"/>
      <c r="D1" s="168"/>
      <c r="E1" s="168"/>
      <c r="F1" s="168"/>
      <c r="G1" s="168"/>
      <c r="H1" s="168"/>
      <c r="I1" s="169"/>
    </row>
    <row r="2" spans="1:9" ht="15.75" thickBot="1" x14ac:dyDescent="0.3">
      <c r="A2" s="170"/>
      <c r="B2" s="158"/>
      <c r="C2" s="158"/>
      <c r="D2" s="158"/>
      <c r="E2" s="158"/>
      <c r="F2" s="158"/>
      <c r="G2" s="158"/>
      <c r="H2" s="158"/>
      <c r="I2" s="171"/>
    </row>
    <row r="3" spans="1:9" ht="16.5" thickBot="1" x14ac:dyDescent="0.3">
      <c r="A3" s="159"/>
      <c r="B3" s="161" t="s">
        <v>0</v>
      </c>
      <c r="C3" s="1" t="s">
        <v>1</v>
      </c>
      <c r="D3" s="172" t="s">
        <v>63</v>
      </c>
      <c r="E3" s="173"/>
      <c r="F3" s="164" t="s">
        <v>2</v>
      </c>
      <c r="G3" s="164"/>
      <c r="H3" s="164"/>
      <c r="I3" s="165" t="s">
        <v>3</v>
      </c>
    </row>
    <row r="4" spans="1:9" ht="16.5" thickBot="1" x14ac:dyDescent="0.3">
      <c r="A4" s="160"/>
      <c r="B4" s="162"/>
      <c r="C4" s="49" t="s">
        <v>4</v>
      </c>
      <c r="D4" s="3">
        <v>1</v>
      </c>
      <c r="E4" s="4">
        <v>2</v>
      </c>
      <c r="F4" s="5">
        <v>0</v>
      </c>
      <c r="G4" s="6">
        <v>1</v>
      </c>
      <c r="H4" s="130">
        <v>2</v>
      </c>
      <c r="I4" s="166"/>
    </row>
    <row r="5" spans="1:9" ht="18" x14ac:dyDescent="0.25">
      <c r="A5" s="131">
        <v>1</v>
      </c>
      <c r="B5" s="70" t="s">
        <v>68</v>
      </c>
      <c r="C5" s="133" t="s">
        <v>5</v>
      </c>
      <c r="D5" s="141">
        <v>2</v>
      </c>
      <c r="E5" s="135">
        <v>5</v>
      </c>
      <c r="F5" s="133"/>
      <c r="G5" s="134">
        <f>16+2.1+1.5</f>
        <v>19.600000000000001</v>
      </c>
      <c r="H5" s="146">
        <f>13+2.1+2</f>
        <v>17.100000000000001</v>
      </c>
      <c r="I5" s="136">
        <f t="shared" ref="I5:I33" si="0">SUM(F5:H5)</f>
        <v>36.700000000000003</v>
      </c>
    </row>
    <row r="6" spans="1:9" ht="18" x14ac:dyDescent="0.25">
      <c r="A6" s="54">
        <v>2</v>
      </c>
      <c r="B6" s="70" t="s">
        <v>165</v>
      </c>
      <c r="C6" s="150" t="s">
        <v>5</v>
      </c>
      <c r="D6" s="142">
        <v>4</v>
      </c>
      <c r="E6" s="92">
        <v>6</v>
      </c>
      <c r="F6" s="87">
        <v>1</v>
      </c>
      <c r="G6" s="91">
        <f>14+2.1+2.5</f>
        <v>18.600000000000001</v>
      </c>
      <c r="H6" s="98">
        <f>12.5+2.8-4+2.5</f>
        <v>13.8</v>
      </c>
      <c r="I6" s="89">
        <f t="shared" si="0"/>
        <v>33.400000000000006</v>
      </c>
    </row>
    <row r="7" spans="1:9" ht="18" x14ac:dyDescent="0.25">
      <c r="A7" s="54">
        <v>3</v>
      </c>
      <c r="B7" s="43" t="s">
        <v>74</v>
      </c>
      <c r="C7" s="90">
        <v>5</v>
      </c>
      <c r="D7" s="142">
        <v>3</v>
      </c>
      <c r="E7" s="92">
        <v>1</v>
      </c>
      <c r="F7" s="87"/>
      <c r="G7" s="91">
        <f>15</f>
        <v>15</v>
      </c>
      <c r="H7" s="98">
        <f>17</f>
        <v>17</v>
      </c>
      <c r="I7" s="89">
        <f t="shared" si="0"/>
        <v>32</v>
      </c>
    </row>
    <row r="8" spans="1:9" ht="18" x14ac:dyDescent="0.25">
      <c r="A8" s="54">
        <v>4</v>
      </c>
      <c r="B8" s="70" t="s">
        <v>70</v>
      </c>
      <c r="C8" s="90">
        <v>12.5</v>
      </c>
      <c r="D8" s="142">
        <v>1</v>
      </c>
      <c r="E8" s="92">
        <v>3</v>
      </c>
      <c r="F8" s="87"/>
      <c r="G8" s="91">
        <f>17+0.7-3</f>
        <v>14.7</v>
      </c>
      <c r="H8" s="98">
        <f>15</f>
        <v>15</v>
      </c>
      <c r="I8" s="89">
        <f t="shared" si="0"/>
        <v>29.7</v>
      </c>
    </row>
    <row r="9" spans="1:9" ht="18" x14ac:dyDescent="0.25">
      <c r="A9" s="54">
        <v>5</v>
      </c>
      <c r="B9" s="43" t="s">
        <v>118</v>
      </c>
      <c r="C9" s="150" t="s">
        <v>5</v>
      </c>
      <c r="D9" s="142">
        <v>9</v>
      </c>
      <c r="E9" s="92">
        <v>2</v>
      </c>
      <c r="F9" s="87"/>
      <c r="G9" s="91">
        <f>11</f>
        <v>11</v>
      </c>
      <c r="H9" s="98">
        <f>16+0.7+1</f>
        <v>17.7</v>
      </c>
      <c r="I9" s="89">
        <f t="shared" si="0"/>
        <v>28.7</v>
      </c>
    </row>
    <row r="10" spans="1:9" ht="18" x14ac:dyDescent="0.25">
      <c r="A10" s="54">
        <v>6</v>
      </c>
      <c r="B10" s="70" t="s">
        <v>132</v>
      </c>
      <c r="C10" s="125" t="s">
        <v>5</v>
      </c>
      <c r="D10" s="129">
        <v>6</v>
      </c>
      <c r="E10" s="145">
        <v>10</v>
      </c>
      <c r="F10" s="125">
        <v>2</v>
      </c>
      <c r="G10" s="140">
        <f>12.5+2.1-3+1</f>
        <v>12.6</v>
      </c>
      <c r="H10" s="137">
        <f>10.5</f>
        <v>10.5</v>
      </c>
      <c r="I10" s="89">
        <f t="shared" si="0"/>
        <v>25.1</v>
      </c>
    </row>
    <row r="11" spans="1:9" ht="18" x14ac:dyDescent="0.25">
      <c r="A11" s="54">
        <v>7</v>
      </c>
      <c r="B11" s="103" t="s">
        <v>164</v>
      </c>
      <c r="C11" s="87" t="s">
        <v>5</v>
      </c>
      <c r="D11" s="142">
        <v>7</v>
      </c>
      <c r="E11" s="92">
        <v>4</v>
      </c>
      <c r="F11" s="87">
        <v>2.5</v>
      </c>
      <c r="G11" s="91">
        <f>12+2.1-5-3+0.5</f>
        <v>6.6</v>
      </c>
      <c r="H11" s="98">
        <f>14+1.4-3+1.5</f>
        <v>13.9</v>
      </c>
      <c r="I11" s="89">
        <f t="shared" si="0"/>
        <v>23</v>
      </c>
    </row>
    <row r="12" spans="1:9" ht="18" x14ac:dyDescent="0.25">
      <c r="A12" s="54">
        <v>8</v>
      </c>
      <c r="B12" s="70" t="s">
        <v>76</v>
      </c>
      <c r="C12" s="87"/>
      <c r="D12" s="142">
        <v>8</v>
      </c>
      <c r="E12" s="92">
        <v>8</v>
      </c>
      <c r="F12" s="87">
        <v>1.5</v>
      </c>
      <c r="G12" s="91">
        <f>11.5-5+2</f>
        <v>8.5</v>
      </c>
      <c r="H12" s="98">
        <f>11.5+0</f>
        <v>11.5</v>
      </c>
      <c r="I12" s="89">
        <f t="shared" si="0"/>
        <v>21.5</v>
      </c>
    </row>
    <row r="13" spans="1:9" ht="18" x14ac:dyDescent="0.25">
      <c r="A13" s="54">
        <v>9</v>
      </c>
      <c r="B13" s="77" t="s">
        <v>111</v>
      </c>
      <c r="C13" s="87">
        <v>2.5</v>
      </c>
      <c r="D13" s="142">
        <v>6</v>
      </c>
      <c r="E13" s="92">
        <v>2</v>
      </c>
      <c r="F13" s="87"/>
      <c r="G13" s="91">
        <f>7+1.5</f>
        <v>8.5</v>
      </c>
      <c r="H13" s="98">
        <f>10.2+2+0.5</f>
        <v>12.7</v>
      </c>
      <c r="I13" s="89">
        <f t="shared" si="0"/>
        <v>21.2</v>
      </c>
    </row>
    <row r="14" spans="1:9" ht="18" x14ac:dyDescent="0.25">
      <c r="A14" s="54">
        <v>10</v>
      </c>
      <c r="B14" s="103" t="s">
        <v>64</v>
      </c>
      <c r="C14" s="90" t="s">
        <v>5</v>
      </c>
      <c r="D14" s="142">
        <v>1</v>
      </c>
      <c r="E14" s="92">
        <v>6</v>
      </c>
      <c r="F14" s="87"/>
      <c r="G14" s="91">
        <f>11.5+0.5</f>
        <v>12</v>
      </c>
      <c r="H14" s="98">
        <f>7+0.5</f>
        <v>7.5</v>
      </c>
      <c r="I14" s="89">
        <f t="shared" si="0"/>
        <v>19.5</v>
      </c>
    </row>
    <row r="15" spans="1:9" ht="18" x14ac:dyDescent="0.25">
      <c r="A15" s="54">
        <v>11</v>
      </c>
      <c r="B15" s="70" t="s">
        <v>72</v>
      </c>
      <c r="C15" s="87"/>
      <c r="D15" s="138">
        <v>10</v>
      </c>
      <c r="E15" s="149">
        <v>9</v>
      </c>
      <c r="F15" s="150">
        <v>0.5</v>
      </c>
      <c r="G15" s="151">
        <f>10.5</f>
        <v>10.5</v>
      </c>
      <c r="H15" s="152">
        <f>11-3</f>
        <v>8</v>
      </c>
      <c r="I15" s="89">
        <f t="shared" si="0"/>
        <v>19</v>
      </c>
    </row>
    <row r="16" spans="1:9" ht="18" x14ac:dyDescent="0.25">
      <c r="A16" s="54">
        <v>12</v>
      </c>
      <c r="B16" s="43" t="s">
        <v>80</v>
      </c>
      <c r="C16" s="87" t="s">
        <v>5</v>
      </c>
      <c r="D16" s="138">
        <v>13</v>
      </c>
      <c r="E16" s="149">
        <v>7</v>
      </c>
      <c r="F16" s="150"/>
      <c r="G16" s="151">
        <f>13</f>
        <v>13</v>
      </c>
      <c r="H16" s="152">
        <f>12-7</f>
        <v>5</v>
      </c>
      <c r="I16" s="89">
        <f t="shared" si="0"/>
        <v>18</v>
      </c>
    </row>
    <row r="17" spans="1:9" ht="18" x14ac:dyDescent="0.25">
      <c r="A17" s="54">
        <v>13</v>
      </c>
      <c r="B17" s="43" t="s">
        <v>102</v>
      </c>
      <c r="C17" s="90" t="s">
        <v>5</v>
      </c>
      <c r="D17" s="142">
        <v>4</v>
      </c>
      <c r="E17" s="92">
        <v>5</v>
      </c>
      <c r="F17" s="87"/>
      <c r="G17" s="91">
        <f>8.5+0.5</f>
        <v>9</v>
      </c>
      <c r="H17" s="98">
        <f>7.5</f>
        <v>7.5</v>
      </c>
      <c r="I17" s="89">
        <f t="shared" si="0"/>
        <v>16.5</v>
      </c>
    </row>
    <row r="18" spans="1:9" ht="18" x14ac:dyDescent="0.25">
      <c r="A18" s="54">
        <v>14</v>
      </c>
      <c r="B18" s="43" t="s">
        <v>62</v>
      </c>
      <c r="C18" s="87">
        <v>5</v>
      </c>
      <c r="D18" s="143">
        <v>5</v>
      </c>
      <c r="E18" s="95">
        <v>8</v>
      </c>
      <c r="F18" s="90"/>
      <c r="G18" s="94">
        <f>7.5+1.5</f>
        <v>9</v>
      </c>
      <c r="H18" s="144">
        <f>6+0.5</f>
        <v>6.5</v>
      </c>
      <c r="I18" s="89">
        <f t="shared" si="0"/>
        <v>15.5</v>
      </c>
    </row>
    <row r="19" spans="1:9" ht="18" x14ac:dyDescent="0.25">
      <c r="A19" s="54">
        <v>15</v>
      </c>
      <c r="B19" s="70" t="s">
        <v>168</v>
      </c>
      <c r="C19" s="87">
        <v>27.5</v>
      </c>
      <c r="D19" s="142">
        <v>2</v>
      </c>
      <c r="E19" s="92">
        <v>10</v>
      </c>
      <c r="F19" s="87"/>
      <c r="G19" s="91">
        <f>10.5</f>
        <v>10.5</v>
      </c>
      <c r="H19" s="98">
        <f>5</f>
        <v>5</v>
      </c>
      <c r="I19" s="89">
        <f t="shared" si="0"/>
        <v>15.5</v>
      </c>
    </row>
    <row r="20" spans="1:9" ht="18" x14ac:dyDescent="0.25">
      <c r="A20" s="54">
        <v>16</v>
      </c>
      <c r="B20" s="70" t="s">
        <v>161</v>
      </c>
      <c r="C20" s="122"/>
      <c r="D20" s="142">
        <v>9</v>
      </c>
      <c r="E20" s="92">
        <v>6</v>
      </c>
      <c r="F20" s="87"/>
      <c r="G20" s="91">
        <v>0</v>
      </c>
      <c r="H20" s="98">
        <f>15</f>
        <v>15</v>
      </c>
      <c r="I20" s="89">
        <f t="shared" si="0"/>
        <v>15</v>
      </c>
    </row>
    <row r="21" spans="1:9" ht="18" x14ac:dyDescent="0.25">
      <c r="A21" s="54">
        <v>17</v>
      </c>
      <c r="B21" s="70" t="s">
        <v>84</v>
      </c>
      <c r="C21" s="87">
        <v>25</v>
      </c>
      <c r="D21" s="143">
        <v>8</v>
      </c>
      <c r="E21" s="95">
        <v>1</v>
      </c>
      <c r="F21" s="90"/>
      <c r="G21" s="94">
        <f>6-5</f>
        <v>1</v>
      </c>
      <c r="H21" s="144">
        <f>11.5+1.5</f>
        <v>13</v>
      </c>
      <c r="I21" s="89">
        <f t="shared" si="0"/>
        <v>14</v>
      </c>
    </row>
    <row r="22" spans="1:9" ht="18" x14ac:dyDescent="0.25">
      <c r="A22" s="54">
        <v>18</v>
      </c>
      <c r="B22" s="77" t="s">
        <v>15</v>
      </c>
      <c r="C22" s="87">
        <v>7.5</v>
      </c>
      <c r="D22" s="142">
        <v>3</v>
      </c>
      <c r="E22" s="92">
        <v>5</v>
      </c>
      <c r="F22" s="87"/>
      <c r="G22" s="91">
        <f>9.5+0.5</f>
        <v>10</v>
      </c>
      <c r="H22" s="98">
        <f>2+2</f>
        <v>4</v>
      </c>
      <c r="I22" s="89">
        <f t="shared" si="0"/>
        <v>14</v>
      </c>
    </row>
    <row r="23" spans="1:9" ht="18" x14ac:dyDescent="0.25">
      <c r="A23" s="54">
        <v>19</v>
      </c>
      <c r="B23" s="43" t="s">
        <v>169</v>
      </c>
      <c r="C23" s="87"/>
      <c r="D23" s="142">
        <v>9</v>
      </c>
      <c r="E23" s="92">
        <v>7</v>
      </c>
      <c r="F23" s="87"/>
      <c r="G23" s="91">
        <f>5.5+0.5</f>
        <v>6</v>
      </c>
      <c r="H23" s="98">
        <f>6.5+0.5</f>
        <v>7</v>
      </c>
      <c r="I23" s="89">
        <f t="shared" si="0"/>
        <v>13</v>
      </c>
    </row>
    <row r="24" spans="1:9" ht="18" x14ac:dyDescent="0.25">
      <c r="A24" s="54">
        <v>20</v>
      </c>
      <c r="B24" s="124" t="s">
        <v>116</v>
      </c>
      <c r="C24" s="87" t="s">
        <v>5</v>
      </c>
      <c r="D24" s="138">
        <v>2</v>
      </c>
      <c r="E24" s="149">
        <v>4</v>
      </c>
      <c r="F24" s="122"/>
      <c r="G24" s="151">
        <f>5+1.5</f>
        <v>6.5</v>
      </c>
      <c r="H24" s="152">
        <f>3+2</f>
        <v>5</v>
      </c>
      <c r="I24" s="89">
        <f t="shared" si="0"/>
        <v>11.5</v>
      </c>
    </row>
    <row r="25" spans="1:9" ht="18" x14ac:dyDescent="0.25">
      <c r="A25" s="54">
        <v>21</v>
      </c>
      <c r="B25" s="70" t="s">
        <v>88</v>
      </c>
      <c r="C25" s="87" t="s">
        <v>5</v>
      </c>
      <c r="D25" s="142">
        <v>10</v>
      </c>
      <c r="E25" s="92">
        <v>2</v>
      </c>
      <c r="F25" s="87"/>
      <c r="G25" s="91">
        <f>5</f>
        <v>5</v>
      </c>
      <c r="H25" s="98">
        <f>5+1.5</f>
        <v>6.5</v>
      </c>
      <c r="I25" s="89">
        <f t="shared" si="0"/>
        <v>11.5</v>
      </c>
    </row>
    <row r="26" spans="1:9" ht="18" x14ac:dyDescent="0.25">
      <c r="A26" s="54">
        <v>22</v>
      </c>
      <c r="B26" s="43" t="s">
        <v>167</v>
      </c>
      <c r="C26" s="87"/>
      <c r="D26" s="142">
        <v>5</v>
      </c>
      <c r="E26" s="92">
        <v>9</v>
      </c>
      <c r="F26" s="87"/>
      <c r="G26" s="91">
        <f>2+0.5</f>
        <v>2.5</v>
      </c>
      <c r="H26" s="98">
        <f>5.5+0.5</f>
        <v>6</v>
      </c>
      <c r="I26" s="89">
        <f t="shared" si="0"/>
        <v>8.5</v>
      </c>
    </row>
    <row r="27" spans="1:9" ht="18" x14ac:dyDescent="0.25">
      <c r="A27" s="54">
        <v>23</v>
      </c>
      <c r="B27" s="70" t="s">
        <v>160</v>
      </c>
      <c r="C27" s="87" t="s">
        <v>5</v>
      </c>
      <c r="D27" s="143">
        <v>6</v>
      </c>
      <c r="E27" s="95">
        <v>3</v>
      </c>
      <c r="F27" s="90"/>
      <c r="G27" s="94">
        <f>1.5+0.5</f>
        <v>2</v>
      </c>
      <c r="H27" s="144">
        <f>4+2</f>
        <v>6</v>
      </c>
      <c r="I27" s="89">
        <f t="shared" si="0"/>
        <v>8</v>
      </c>
    </row>
    <row r="28" spans="1:9" ht="18" x14ac:dyDescent="0.25">
      <c r="A28" s="54">
        <v>24</v>
      </c>
      <c r="B28" s="43" t="s">
        <v>163</v>
      </c>
      <c r="C28" s="87">
        <v>10</v>
      </c>
      <c r="D28" s="142">
        <v>1</v>
      </c>
      <c r="E28" s="92">
        <v>1</v>
      </c>
      <c r="F28" s="87"/>
      <c r="G28" s="91">
        <f>6+0.5-5</f>
        <v>1.5</v>
      </c>
      <c r="H28" s="98">
        <f>6+0.5</f>
        <v>6.5</v>
      </c>
      <c r="I28" s="89">
        <f t="shared" si="0"/>
        <v>8</v>
      </c>
    </row>
    <row r="29" spans="1:9" ht="18" x14ac:dyDescent="0.25">
      <c r="A29" s="54">
        <v>25</v>
      </c>
      <c r="B29" s="43" t="s">
        <v>121</v>
      </c>
      <c r="C29" s="87" t="s">
        <v>5</v>
      </c>
      <c r="D29" s="129">
        <v>7</v>
      </c>
      <c r="E29" s="145">
        <v>4</v>
      </c>
      <c r="F29" s="125"/>
      <c r="G29" s="140">
        <f>6.5-3</f>
        <v>3.5</v>
      </c>
      <c r="H29" s="137">
        <f>8.5-4</f>
        <v>4.5</v>
      </c>
      <c r="I29" s="89">
        <f t="shared" si="0"/>
        <v>8</v>
      </c>
    </row>
    <row r="30" spans="1:9" ht="18" x14ac:dyDescent="0.25">
      <c r="A30" s="54">
        <v>26</v>
      </c>
      <c r="B30" s="103" t="s">
        <v>99</v>
      </c>
      <c r="C30" s="87">
        <v>15</v>
      </c>
      <c r="D30" s="143">
        <v>4</v>
      </c>
      <c r="E30" s="95">
        <v>3</v>
      </c>
      <c r="F30" s="90"/>
      <c r="G30" s="94">
        <f>3+2.5-5-5</f>
        <v>-4.5</v>
      </c>
      <c r="H30" s="144">
        <f>9.5</f>
        <v>9.5</v>
      </c>
      <c r="I30" s="89">
        <f t="shared" si="0"/>
        <v>5</v>
      </c>
    </row>
    <row r="31" spans="1:9" ht="18" x14ac:dyDescent="0.25">
      <c r="A31" s="54">
        <v>27</v>
      </c>
      <c r="B31" s="43" t="s">
        <v>166</v>
      </c>
      <c r="C31" s="87"/>
      <c r="D31" s="142">
        <v>3</v>
      </c>
      <c r="E31" s="92">
        <v>9</v>
      </c>
      <c r="F31" s="87"/>
      <c r="G31" s="91">
        <f>4</f>
        <v>4</v>
      </c>
      <c r="H31" s="98">
        <f>0</f>
        <v>0</v>
      </c>
      <c r="I31" s="89">
        <f t="shared" si="0"/>
        <v>4</v>
      </c>
    </row>
    <row r="32" spans="1:9" ht="18" x14ac:dyDescent="0.25">
      <c r="A32" s="54">
        <v>28</v>
      </c>
      <c r="B32" s="124" t="s">
        <v>162</v>
      </c>
      <c r="C32" s="87"/>
      <c r="D32" s="138">
        <v>8</v>
      </c>
      <c r="E32" s="149">
        <v>8</v>
      </c>
      <c r="F32" s="150"/>
      <c r="G32" s="151">
        <f>0.5</f>
        <v>0.5</v>
      </c>
      <c r="H32" s="152">
        <v>0.5</v>
      </c>
      <c r="I32" s="89">
        <f t="shared" si="0"/>
        <v>1</v>
      </c>
    </row>
    <row r="33" spans="1:9" ht="18" x14ac:dyDescent="0.25">
      <c r="A33" s="54">
        <v>29</v>
      </c>
      <c r="B33" s="121" t="s">
        <v>113</v>
      </c>
      <c r="C33" s="87">
        <v>5</v>
      </c>
      <c r="D33" s="138">
        <v>7</v>
      </c>
      <c r="E33" s="149">
        <v>7</v>
      </c>
      <c r="F33" s="150"/>
      <c r="G33" s="151">
        <f>1+0.5-4</f>
        <v>-2.5</v>
      </c>
      <c r="H33" s="152">
        <f>1-4</f>
        <v>-3</v>
      </c>
      <c r="I33" s="89">
        <f t="shared" si="0"/>
        <v>-5.5</v>
      </c>
    </row>
    <row r="34" spans="1:9" ht="18" hidden="1" x14ac:dyDescent="0.25">
      <c r="A34" s="54">
        <v>30</v>
      </c>
      <c r="B34" s="43"/>
      <c r="C34" s="109"/>
      <c r="D34" s="155"/>
      <c r="E34" s="107"/>
      <c r="F34" s="109"/>
      <c r="G34" s="105"/>
      <c r="H34" s="156"/>
      <c r="I34" s="89">
        <f t="shared" ref="I34:I43" si="1">SUM(F34:H34)</f>
        <v>0</v>
      </c>
    </row>
    <row r="35" spans="1:9" ht="18" hidden="1" x14ac:dyDescent="0.25">
      <c r="A35" s="54">
        <v>31</v>
      </c>
      <c r="B35" s="71"/>
      <c r="C35" s="87"/>
      <c r="D35" s="142"/>
      <c r="E35" s="92"/>
      <c r="F35" s="87"/>
      <c r="G35" s="91"/>
      <c r="H35" s="98"/>
      <c r="I35" s="89">
        <f t="shared" si="1"/>
        <v>0</v>
      </c>
    </row>
    <row r="36" spans="1:9" ht="18" hidden="1" x14ac:dyDescent="0.25">
      <c r="A36" s="56">
        <v>32</v>
      </c>
      <c r="B36" s="103"/>
      <c r="C36" s="87"/>
      <c r="D36" s="142"/>
      <c r="E36" s="92"/>
      <c r="F36" s="87"/>
      <c r="G36" s="91"/>
      <c r="H36" s="98"/>
      <c r="I36" s="89">
        <f t="shared" si="1"/>
        <v>0</v>
      </c>
    </row>
    <row r="37" spans="1:9" ht="21" hidden="1" customHeight="1" x14ac:dyDescent="0.25">
      <c r="A37" s="123">
        <v>33</v>
      </c>
      <c r="B37" s="43"/>
      <c r="C37" s="125"/>
      <c r="D37" s="142"/>
      <c r="E37" s="92"/>
      <c r="F37" s="87"/>
      <c r="G37" s="91"/>
      <c r="H37" s="98"/>
      <c r="I37" s="89">
        <f t="shared" si="1"/>
        <v>0</v>
      </c>
    </row>
    <row r="38" spans="1:9" ht="18" hidden="1" x14ac:dyDescent="0.25">
      <c r="A38" s="128">
        <v>34</v>
      </c>
      <c r="B38" s="148"/>
      <c r="C38" s="90"/>
      <c r="D38" s="142"/>
      <c r="E38" s="92"/>
      <c r="F38" s="87"/>
      <c r="G38" s="91"/>
      <c r="H38" s="98"/>
      <c r="I38" s="89">
        <f t="shared" si="1"/>
        <v>0</v>
      </c>
    </row>
    <row r="39" spans="1:9" ht="18" hidden="1" x14ac:dyDescent="0.25">
      <c r="A39" s="139">
        <v>35</v>
      </c>
      <c r="B39" s="71"/>
      <c r="C39" s="87"/>
      <c r="D39" s="143"/>
      <c r="E39" s="95"/>
      <c r="F39" s="90"/>
      <c r="G39" s="94"/>
      <c r="H39" s="144"/>
      <c r="I39" s="89">
        <f t="shared" si="1"/>
        <v>0</v>
      </c>
    </row>
    <row r="40" spans="1:9" ht="18" hidden="1" x14ac:dyDescent="0.25">
      <c r="A40" s="103">
        <v>36</v>
      </c>
      <c r="B40" s="70"/>
      <c r="C40" s="87"/>
      <c r="D40" s="143"/>
      <c r="E40" s="95"/>
      <c r="F40" s="90"/>
      <c r="G40" s="94"/>
      <c r="H40" s="144"/>
      <c r="I40" s="89">
        <f t="shared" si="1"/>
        <v>0</v>
      </c>
    </row>
    <row r="41" spans="1:9" ht="18" hidden="1" x14ac:dyDescent="0.25">
      <c r="A41" s="103">
        <v>37</v>
      </c>
      <c r="B41" s="77"/>
      <c r="C41" s="87"/>
      <c r="D41" s="142"/>
      <c r="E41" s="92"/>
      <c r="F41" s="87"/>
      <c r="G41" s="91"/>
      <c r="H41" s="98"/>
      <c r="I41" s="89">
        <f t="shared" si="1"/>
        <v>0</v>
      </c>
    </row>
    <row r="42" spans="1:9" ht="18" hidden="1" x14ac:dyDescent="0.25">
      <c r="A42" s="103">
        <v>38</v>
      </c>
      <c r="B42" s="43"/>
      <c r="C42" s="90"/>
      <c r="D42" s="143"/>
      <c r="E42" s="95"/>
      <c r="F42" s="90"/>
      <c r="G42" s="94"/>
      <c r="H42" s="144"/>
      <c r="I42" s="89">
        <f t="shared" si="1"/>
        <v>0</v>
      </c>
    </row>
    <row r="43" spans="1:9" ht="18.75" hidden="1" thickBot="1" x14ac:dyDescent="0.3">
      <c r="A43" s="120">
        <v>39</v>
      </c>
      <c r="B43" s="120"/>
      <c r="C43" s="147"/>
      <c r="D43" s="153"/>
      <c r="E43" s="116"/>
      <c r="F43" s="154"/>
      <c r="G43" s="115"/>
      <c r="H43" s="101"/>
      <c r="I43" s="89">
        <f t="shared" si="1"/>
        <v>0</v>
      </c>
    </row>
    <row r="44" spans="1:9" ht="18" x14ac:dyDescent="0.25">
      <c r="A44" s="126"/>
      <c r="B44" s="126"/>
      <c r="C44" s="126"/>
      <c r="D44" s="126"/>
      <c r="E44" s="126"/>
      <c r="F44" s="126"/>
      <c r="G44" s="126"/>
      <c r="H44" s="126"/>
      <c r="I44" s="126"/>
    </row>
    <row r="45" spans="1:9" ht="18" x14ac:dyDescent="0.25">
      <c r="A45" s="126"/>
      <c r="B45" s="126"/>
      <c r="C45" s="126"/>
      <c r="D45" s="126"/>
      <c r="E45" s="126"/>
      <c r="F45" s="126"/>
      <c r="G45" s="126"/>
      <c r="H45" s="126"/>
      <c r="I45" s="126"/>
    </row>
    <row r="46" spans="1:9" ht="18" x14ac:dyDescent="0.25">
      <c r="A46" s="126"/>
      <c r="B46" s="126"/>
      <c r="C46" s="126"/>
      <c r="D46" s="126"/>
      <c r="E46" s="126"/>
      <c r="F46" s="126"/>
      <c r="G46" s="126"/>
      <c r="H46" s="126"/>
      <c r="I46" s="126"/>
    </row>
    <row r="47" spans="1:9" ht="18" x14ac:dyDescent="0.25">
      <c r="A47" s="126"/>
      <c r="B47" s="126"/>
      <c r="C47" s="126"/>
      <c r="D47" s="126"/>
      <c r="E47" s="126"/>
      <c r="F47" s="126"/>
      <c r="G47" s="126"/>
      <c r="H47" s="126"/>
      <c r="I47" s="126"/>
    </row>
    <row r="48" spans="1:9" ht="18" x14ac:dyDescent="0.25">
      <c r="A48" s="126"/>
      <c r="B48" s="126"/>
      <c r="C48" s="126"/>
      <c r="D48" s="126"/>
      <c r="E48" s="126"/>
      <c r="F48" s="126"/>
      <c r="G48" s="126"/>
      <c r="H48" s="126"/>
      <c r="I48" s="126"/>
    </row>
    <row r="49" spans="1:9" x14ac:dyDescent="0.25">
      <c r="A49" s="127"/>
      <c r="B49" s="127"/>
      <c r="C49" s="127"/>
      <c r="D49" s="127"/>
      <c r="E49" s="127"/>
      <c r="F49" s="127"/>
      <c r="G49" s="127"/>
      <c r="H49" s="127"/>
      <c r="I49" s="127"/>
    </row>
  </sheetData>
  <sortState ref="B5:I33">
    <sortCondition descending="1" ref="I5:I33"/>
  </sortState>
  <mergeCells count="6">
    <mergeCell ref="A1:I2"/>
    <mergeCell ref="A3:A4"/>
    <mergeCell ref="B3:B4"/>
    <mergeCell ref="D3:E3"/>
    <mergeCell ref="F3:H3"/>
    <mergeCell ref="I3:I4"/>
  </mergeCells>
  <pageMargins left="0.70866141732283472" right="0.70866141732283472" top="0.74803149606299213" bottom="0.74803149606299213" header="0.31496062992125984" footer="0.31496062992125984"/>
  <pageSetup paperSize="9" scale="6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zoomScale="60" zoomScaleNormal="60" workbookViewId="0">
      <selection activeCell="B5" sqref="B5:B34"/>
    </sheetView>
  </sheetViews>
  <sheetFormatPr defaultRowHeight="15" x14ac:dyDescent="0.25"/>
  <cols>
    <col min="1" max="1" width="5.140625" customWidth="1"/>
    <col min="2" max="2" width="33.28515625" customWidth="1"/>
    <col min="3" max="3" width="7.7109375" customWidth="1"/>
  </cols>
  <sheetData>
    <row r="1" spans="1:9" x14ac:dyDescent="0.25">
      <c r="A1" s="167" t="s">
        <v>177</v>
      </c>
      <c r="B1" s="168"/>
      <c r="C1" s="168"/>
      <c r="D1" s="168"/>
      <c r="E1" s="168"/>
      <c r="F1" s="168"/>
      <c r="G1" s="168"/>
      <c r="H1" s="168"/>
      <c r="I1" s="169"/>
    </row>
    <row r="2" spans="1:9" ht="15.75" thickBot="1" x14ac:dyDescent="0.3">
      <c r="A2" s="170"/>
      <c r="B2" s="158"/>
      <c r="C2" s="158"/>
      <c r="D2" s="158"/>
      <c r="E2" s="158"/>
      <c r="F2" s="158"/>
      <c r="G2" s="158"/>
      <c r="H2" s="158"/>
      <c r="I2" s="171"/>
    </row>
    <row r="3" spans="1:9" ht="16.5" thickBot="1" x14ac:dyDescent="0.3">
      <c r="A3" s="159"/>
      <c r="B3" s="161" t="s">
        <v>0</v>
      </c>
      <c r="C3" s="1" t="s">
        <v>1</v>
      </c>
      <c r="D3" s="172" t="s">
        <v>63</v>
      </c>
      <c r="E3" s="173"/>
      <c r="F3" s="164" t="s">
        <v>2</v>
      </c>
      <c r="G3" s="164"/>
      <c r="H3" s="164"/>
      <c r="I3" s="165" t="s">
        <v>3</v>
      </c>
    </row>
    <row r="4" spans="1:9" ht="16.5" thickBot="1" x14ac:dyDescent="0.3">
      <c r="A4" s="160"/>
      <c r="B4" s="162"/>
      <c r="C4" s="49" t="s">
        <v>4</v>
      </c>
      <c r="D4" s="3">
        <v>1</v>
      </c>
      <c r="E4" s="4">
        <v>2</v>
      </c>
      <c r="F4" s="5">
        <v>0</v>
      </c>
      <c r="G4" s="6">
        <v>1</v>
      </c>
      <c r="H4" s="130">
        <v>2</v>
      </c>
      <c r="I4" s="166"/>
    </row>
    <row r="5" spans="1:9" ht="18" x14ac:dyDescent="0.25">
      <c r="A5" s="131">
        <v>1</v>
      </c>
      <c r="B5" s="174" t="s">
        <v>175</v>
      </c>
      <c r="C5" s="133"/>
      <c r="D5" s="141">
        <v>9</v>
      </c>
      <c r="E5" s="135">
        <v>7</v>
      </c>
      <c r="F5" s="133">
        <v>1</v>
      </c>
      <c r="G5" s="134">
        <f>11+2.5</f>
        <v>13.5</v>
      </c>
      <c r="H5" s="146">
        <f>12+2.1+2.5</f>
        <v>16.600000000000001</v>
      </c>
      <c r="I5" s="136">
        <f t="shared" ref="I5:I34" si="0">SUM(F5:H5)</f>
        <v>31.1</v>
      </c>
    </row>
    <row r="6" spans="1:9" ht="18" x14ac:dyDescent="0.25">
      <c r="A6" s="54">
        <v>2</v>
      </c>
      <c r="B6" s="174" t="s">
        <v>178</v>
      </c>
      <c r="C6" s="87" t="s">
        <v>5</v>
      </c>
      <c r="D6" s="143">
        <v>3</v>
      </c>
      <c r="E6" s="95">
        <v>2</v>
      </c>
      <c r="F6" s="90"/>
      <c r="G6" s="94">
        <f>9.5+3.5</f>
        <v>13</v>
      </c>
      <c r="H6" s="144">
        <f>16+0.7</f>
        <v>16.7</v>
      </c>
      <c r="I6" s="89">
        <f t="shared" si="0"/>
        <v>29.7</v>
      </c>
    </row>
    <row r="7" spans="1:9" ht="18" x14ac:dyDescent="0.25">
      <c r="A7" s="54">
        <v>3</v>
      </c>
      <c r="B7" s="175" t="s">
        <v>184</v>
      </c>
      <c r="C7" s="87">
        <v>10</v>
      </c>
      <c r="D7" s="138">
        <v>10</v>
      </c>
      <c r="E7" s="149">
        <v>4</v>
      </c>
      <c r="F7" s="150">
        <v>2</v>
      </c>
      <c r="G7" s="151">
        <f>10.5+1</f>
        <v>11.5</v>
      </c>
      <c r="H7" s="152">
        <f>14+2.1</f>
        <v>16.100000000000001</v>
      </c>
      <c r="I7" s="89">
        <f t="shared" si="0"/>
        <v>29.6</v>
      </c>
    </row>
    <row r="8" spans="1:9" ht="18" x14ac:dyDescent="0.25">
      <c r="A8" s="54">
        <v>4</v>
      </c>
      <c r="B8" s="77" t="s">
        <v>9</v>
      </c>
      <c r="C8" s="90"/>
      <c r="D8" s="142">
        <v>4</v>
      </c>
      <c r="E8" s="92">
        <v>9</v>
      </c>
      <c r="F8" s="87"/>
      <c r="G8" s="91">
        <f>14+0.7+1.5</f>
        <v>16.2</v>
      </c>
      <c r="H8" s="98">
        <f>11+2</f>
        <v>13</v>
      </c>
      <c r="I8" s="89">
        <f t="shared" si="0"/>
        <v>29.2</v>
      </c>
    </row>
    <row r="9" spans="1:9" ht="18" x14ac:dyDescent="0.25">
      <c r="A9" s="54">
        <v>5</v>
      </c>
      <c r="B9" s="77" t="s">
        <v>25</v>
      </c>
      <c r="C9" s="87">
        <v>20</v>
      </c>
      <c r="D9" s="142">
        <v>6</v>
      </c>
      <c r="E9" s="92">
        <v>5</v>
      </c>
      <c r="F9" s="87">
        <v>1.5</v>
      </c>
      <c r="G9" s="91">
        <f>12.5</f>
        <v>12.5</v>
      </c>
      <c r="H9" s="98">
        <f>13+0.5</f>
        <v>13.5</v>
      </c>
      <c r="I9" s="89">
        <f t="shared" si="0"/>
        <v>27.5</v>
      </c>
    </row>
    <row r="10" spans="1:9" ht="18" x14ac:dyDescent="0.25">
      <c r="A10" s="54">
        <v>6</v>
      </c>
      <c r="B10" s="174" t="s">
        <v>185</v>
      </c>
      <c r="C10" s="87"/>
      <c r="D10" s="138">
        <v>7</v>
      </c>
      <c r="E10" s="149">
        <v>1</v>
      </c>
      <c r="F10" s="150">
        <v>0.5</v>
      </c>
      <c r="G10" s="151">
        <f>12-4-4</f>
        <v>4</v>
      </c>
      <c r="H10" s="152">
        <f>17+0.7</f>
        <v>17.7</v>
      </c>
      <c r="I10" s="89">
        <f t="shared" si="0"/>
        <v>22.2</v>
      </c>
    </row>
    <row r="11" spans="1:9" ht="18" x14ac:dyDescent="0.25">
      <c r="A11" s="54">
        <v>7</v>
      </c>
      <c r="B11" s="174" t="s">
        <v>49</v>
      </c>
      <c r="C11" s="87">
        <v>12</v>
      </c>
      <c r="D11" s="142">
        <v>1</v>
      </c>
      <c r="E11" s="92">
        <v>2</v>
      </c>
      <c r="F11" s="87"/>
      <c r="G11" s="91">
        <f>17+0.7</f>
        <v>17.7</v>
      </c>
      <c r="H11" s="98">
        <f>10.5+3-6-5+1.5</f>
        <v>4</v>
      </c>
      <c r="I11" s="89">
        <f t="shared" si="0"/>
        <v>21.7</v>
      </c>
    </row>
    <row r="12" spans="1:9" ht="18" x14ac:dyDescent="0.25">
      <c r="A12" s="54">
        <v>8</v>
      </c>
      <c r="B12" s="174" t="s">
        <v>28</v>
      </c>
      <c r="C12" s="150"/>
      <c r="D12" s="142">
        <v>8</v>
      </c>
      <c r="E12" s="92">
        <v>3</v>
      </c>
      <c r="F12" s="87"/>
      <c r="G12" s="91">
        <f>11.5</f>
        <v>11.5</v>
      </c>
      <c r="H12" s="98">
        <f>15-5</f>
        <v>10</v>
      </c>
      <c r="I12" s="89">
        <f t="shared" si="0"/>
        <v>21.5</v>
      </c>
    </row>
    <row r="13" spans="1:9" ht="18" x14ac:dyDescent="0.25">
      <c r="A13" s="54">
        <v>9</v>
      </c>
      <c r="B13" s="174" t="s">
        <v>40</v>
      </c>
      <c r="C13" s="125">
        <v>20</v>
      </c>
      <c r="D13" s="142">
        <v>2</v>
      </c>
      <c r="E13" s="92">
        <v>5</v>
      </c>
      <c r="F13" s="87"/>
      <c r="G13" s="91">
        <f>16</f>
        <v>16</v>
      </c>
      <c r="H13" s="98">
        <f>2+2.5</f>
        <v>4.5</v>
      </c>
      <c r="I13" s="89">
        <f t="shared" si="0"/>
        <v>20.5</v>
      </c>
    </row>
    <row r="14" spans="1:9" ht="18" x14ac:dyDescent="0.25">
      <c r="A14" s="54">
        <v>10</v>
      </c>
      <c r="B14" s="77" t="s">
        <v>133</v>
      </c>
      <c r="C14" s="87"/>
      <c r="D14" s="142">
        <v>4</v>
      </c>
      <c r="E14" s="92">
        <v>1</v>
      </c>
      <c r="F14" s="87"/>
      <c r="G14" s="91">
        <f>8.5</f>
        <v>8.5</v>
      </c>
      <c r="H14" s="98">
        <f>11.5+0.5</f>
        <v>12</v>
      </c>
      <c r="I14" s="89">
        <f t="shared" si="0"/>
        <v>20.5</v>
      </c>
    </row>
    <row r="15" spans="1:9" ht="18" x14ac:dyDescent="0.25">
      <c r="A15" s="54">
        <v>11</v>
      </c>
      <c r="B15" s="77" t="s">
        <v>179</v>
      </c>
      <c r="C15" s="87">
        <v>4</v>
      </c>
      <c r="D15" s="142">
        <v>5</v>
      </c>
      <c r="E15" s="92">
        <v>8</v>
      </c>
      <c r="F15" s="87">
        <v>2.5</v>
      </c>
      <c r="G15" s="91">
        <f>13+3.5-4-4-3</f>
        <v>5.5</v>
      </c>
      <c r="H15" s="98">
        <f>11.5</f>
        <v>11.5</v>
      </c>
      <c r="I15" s="89">
        <f t="shared" si="0"/>
        <v>19.5</v>
      </c>
    </row>
    <row r="16" spans="1:9" ht="18" x14ac:dyDescent="0.25">
      <c r="A16" s="54">
        <v>12</v>
      </c>
      <c r="B16" s="77" t="s">
        <v>136</v>
      </c>
      <c r="C16" s="125"/>
      <c r="D16" s="142">
        <v>2</v>
      </c>
      <c r="E16" s="92">
        <v>4</v>
      </c>
      <c r="F16" s="87"/>
      <c r="G16" s="91">
        <f>10.5</f>
        <v>10.5</v>
      </c>
      <c r="H16" s="98">
        <f>8.5</f>
        <v>8.5</v>
      </c>
      <c r="I16" s="89">
        <f t="shared" si="0"/>
        <v>19</v>
      </c>
    </row>
    <row r="17" spans="1:9" ht="18" x14ac:dyDescent="0.25">
      <c r="A17" s="54">
        <v>13</v>
      </c>
      <c r="B17" s="77" t="s">
        <v>27</v>
      </c>
      <c r="C17" s="87" t="s">
        <v>5</v>
      </c>
      <c r="D17" s="143">
        <v>1</v>
      </c>
      <c r="E17" s="95">
        <v>6</v>
      </c>
      <c r="F17" s="90"/>
      <c r="G17" s="94">
        <f>11.5</f>
        <v>11.5</v>
      </c>
      <c r="H17" s="144">
        <f>7</f>
        <v>7</v>
      </c>
      <c r="I17" s="89">
        <f t="shared" si="0"/>
        <v>18.5</v>
      </c>
    </row>
    <row r="18" spans="1:9" ht="18" x14ac:dyDescent="0.25">
      <c r="A18" s="54">
        <v>14</v>
      </c>
      <c r="B18" s="85" t="s">
        <v>42</v>
      </c>
      <c r="C18" s="90" t="s">
        <v>5</v>
      </c>
      <c r="D18" s="138">
        <v>3</v>
      </c>
      <c r="E18" s="149">
        <v>10</v>
      </c>
      <c r="F18" s="150"/>
      <c r="G18" s="151">
        <f>15+0.7</f>
        <v>15.7</v>
      </c>
      <c r="H18" s="152">
        <f>5-3</f>
        <v>2</v>
      </c>
      <c r="I18" s="89">
        <f t="shared" si="0"/>
        <v>17.7</v>
      </c>
    </row>
    <row r="19" spans="1:9" ht="18" x14ac:dyDescent="0.25">
      <c r="A19" s="54">
        <v>15</v>
      </c>
      <c r="B19" s="176" t="s">
        <v>18</v>
      </c>
      <c r="C19" s="90"/>
      <c r="D19" s="142">
        <v>6</v>
      </c>
      <c r="E19" s="92">
        <v>6</v>
      </c>
      <c r="F19" s="87"/>
      <c r="G19" s="91">
        <f>7+2-5+2</f>
        <v>6</v>
      </c>
      <c r="H19" s="98">
        <f>12.5+2.1-4+1</f>
        <v>11.6</v>
      </c>
      <c r="I19" s="89">
        <f t="shared" si="0"/>
        <v>17.600000000000001</v>
      </c>
    </row>
    <row r="20" spans="1:9" ht="18" x14ac:dyDescent="0.25">
      <c r="A20" s="54">
        <v>16</v>
      </c>
      <c r="B20" s="77" t="s">
        <v>180</v>
      </c>
      <c r="C20" s="87">
        <v>7</v>
      </c>
      <c r="D20" s="142">
        <v>5</v>
      </c>
      <c r="E20" s="92">
        <v>10</v>
      </c>
      <c r="F20" s="87"/>
      <c r="G20" s="91">
        <f>7.5+1-7+0.5</f>
        <v>2</v>
      </c>
      <c r="H20" s="98">
        <f>10.5</f>
        <v>10.5</v>
      </c>
      <c r="I20" s="89">
        <f t="shared" si="0"/>
        <v>12.5</v>
      </c>
    </row>
    <row r="21" spans="1:9" ht="18" x14ac:dyDescent="0.25">
      <c r="A21" s="54">
        <v>17</v>
      </c>
      <c r="B21" s="77" t="s">
        <v>170</v>
      </c>
      <c r="C21" s="150" t="s">
        <v>5</v>
      </c>
      <c r="D21" s="142">
        <v>9</v>
      </c>
      <c r="E21" s="92">
        <v>1</v>
      </c>
      <c r="F21" s="87"/>
      <c r="G21" s="91">
        <f>5.5</f>
        <v>5.5</v>
      </c>
      <c r="H21" s="98">
        <f>6+0.5</f>
        <v>6.5</v>
      </c>
      <c r="I21" s="89">
        <f t="shared" si="0"/>
        <v>12</v>
      </c>
    </row>
    <row r="22" spans="1:9" ht="18" x14ac:dyDescent="0.25">
      <c r="A22" s="54">
        <v>18</v>
      </c>
      <c r="B22" s="174" t="s">
        <v>126</v>
      </c>
      <c r="C22" s="87">
        <v>13</v>
      </c>
      <c r="D22" s="143">
        <v>1</v>
      </c>
      <c r="E22" s="95">
        <v>7</v>
      </c>
      <c r="F22" s="90"/>
      <c r="G22" s="94">
        <f>6+1</f>
        <v>7</v>
      </c>
      <c r="H22" s="144">
        <f>6.5-5</f>
        <v>1.5</v>
      </c>
      <c r="I22" s="89">
        <f t="shared" si="0"/>
        <v>8.5</v>
      </c>
    </row>
    <row r="23" spans="1:9" ht="18" x14ac:dyDescent="0.25">
      <c r="A23" s="54">
        <v>19</v>
      </c>
      <c r="B23" s="77" t="s">
        <v>174</v>
      </c>
      <c r="C23" s="90" t="s">
        <v>5</v>
      </c>
      <c r="D23" s="129">
        <v>7</v>
      </c>
      <c r="E23" s="145">
        <v>3</v>
      </c>
      <c r="F23" s="125"/>
      <c r="G23" s="140">
        <f>1+0.5</f>
        <v>1.5</v>
      </c>
      <c r="H23" s="137">
        <f>4+1</f>
        <v>5</v>
      </c>
      <c r="I23" s="89">
        <f t="shared" si="0"/>
        <v>6.5</v>
      </c>
    </row>
    <row r="24" spans="1:9" ht="18" x14ac:dyDescent="0.25">
      <c r="A24" s="54">
        <v>20</v>
      </c>
      <c r="B24" s="77" t="s">
        <v>15</v>
      </c>
      <c r="C24" s="87" t="s">
        <v>5</v>
      </c>
      <c r="D24" s="142">
        <v>8</v>
      </c>
      <c r="E24" s="92">
        <v>9</v>
      </c>
      <c r="F24" s="87"/>
      <c r="G24" s="91">
        <f>6+0.5</f>
        <v>6.5</v>
      </c>
      <c r="H24" s="98">
        <f>5.5+0.5-6</f>
        <v>0</v>
      </c>
      <c r="I24" s="89">
        <f t="shared" si="0"/>
        <v>6.5</v>
      </c>
    </row>
    <row r="25" spans="1:9" ht="18" x14ac:dyDescent="0.25">
      <c r="A25" s="54">
        <v>21</v>
      </c>
      <c r="B25" s="174" t="s">
        <v>161</v>
      </c>
      <c r="C25" s="90"/>
      <c r="D25" s="138">
        <v>3</v>
      </c>
      <c r="E25" s="149">
        <v>6</v>
      </c>
      <c r="F25" s="150"/>
      <c r="G25" s="151">
        <f>4</f>
        <v>4</v>
      </c>
      <c r="H25" s="152">
        <f>1.5+0.5</f>
        <v>2</v>
      </c>
      <c r="I25" s="89">
        <f t="shared" si="0"/>
        <v>6</v>
      </c>
    </row>
    <row r="26" spans="1:9" ht="18" x14ac:dyDescent="0.25">
      <c r="A26" s="54">
        <v>22</v>
      </c>
      <c r="B26" s="85" t="s">
        <v>150</v>
      </c>
      <c r="C26" s="87"/>
      <c r="D26" s="142">
        <v>2</v>
      </c>
      <c r="E26" s="92">
        <v>8</v>
      </c>
      <c r="F26" s="87"/>
      <c r="G26" s="91">
        <f>5+1.5-4</f>
        <v>2.5</v>
      </c>
      <c r="H26" s="98">
        <f>6-4</f>
        <v>2</v>
      </c>
      <c r="I26" s="89">
        <f t="shared" si="0"/>
        <v>4.5</v>
      </c>
    </row>
    <row r="27" spans="1:9" ht="18" x14ac:dyDescent="0.25">
      <c r="A27" s="54">
        <v>23</v>
      </c>
      <c r="B27" s="174" t="s">
        <v>176</v>
      </c>
      <c r="C27" s="87">
        <v>4</v>
      </c>
      <c r="D27" s="142">
        <v>4</v>
      </c>
      <c r="E27" s="92">
        <v>8</v>
      </c>
      <c r="F27" s="87"/>
      <c r="G27" s="91">
        <f>3</f>
        <v>3</v>
      </c>
      <c r="H27" s="98">
        <f>0.5+0.5</f>
        <v>1</v>
      </c>
      <c r="I27" s="89">
        <f t="shared" si="0"/>
        <v>4</v>
      </c>
    </row>
    <row r="28" spans="1:9" ht="18" x14ac:dyDescent="0.25">
      <c r="A28" s="54">
        <v>24</v>
      </c>
      <c r="B28" s="77" t="s">
        <v>182</v>
      </c>
      <c r="C28" s="87" t="s">
        <v>5</v>
      </c>
      <c r="D28" s="143">
        <v>10</v>
      </c>
      <c r="E28" s="95">
        <v>4</v>
      </c>
      <c r="F28" s="90"/>
      <c r="G28" s="94">
        <f>0</f>
        <v>0</v>
      </c>
      <c r="H28" s="144">
        <f>3</f>
        <v>3</v>
      </c>
      <c r="I28" s="89">
        <f t="shared" si="0"/>
        <v>3</v>
      </c>
    </row>
    <row r="29" spans="1:9" ht="18" x14ac:dyDescent="0.25">
      <c r="A29" s="54">
        <v>25</v>
      </c>
      <c r="B29" s="85" t="s">
        <v>171</v>
      </c>
      <c r="C29" s="87" t="s">
        <v>5</v>
      </c>
      <c r="D29" s="142">
        <v>8</v>
      </c>
      <c r="E29" s="92">
        <v>5</v>
      </c>
      <c r="F29" s="87"/>
      <c r="G29" s="91">
        <f>0.5-6</f>
        <v>-5.5</v>
      </c>
      <c r="H29" s="98">
        <f>7.5</f>
        <v>7.5</v>
      </c>
      <c r="I29" s="89">
        <f t="shared" si="0"/>
        <v>2</v>
      </c>
    </row>
    <row r="30" spans="1:9" ht="18" x14ac:dyDescent="0.25">
      <c r="A30" s="54">
        <v>26</v>
      </c>
      <c r="B30" s="177" t="s">
        <v>186</v>
      </c>
      <c r="C30" s="150" t="s">
        <v>5</v>
      </c>
      <c r="D30" s="142">
        <v>5</v>
      </c>
      <c r="E30" s="92">
        <v>9</v>
      </c>
      <c r="F30" s="87"/>
      <c r="G30" s="91">
        <f>2</f>
        <v>2</v>
      </c>
      <c r="H30" s="98">
        <f>0</f>
        <v>0</v>
      </c>
      <c r="I30" s="89">
        <f t="shared" si="0"/>
        <v>2</v>
      </c>
    </row>
    <row r="31" spans="1:9" ht="18" x14ac:dyDescent="0.25">
      <c r="A31" s="56">
        <v>27</v>
      </c>
      <c r="B31" s="77" t="s">
        <v>172</v>
      </c>
      <c r="C31" s="87"/>
      <c r="D31" s="143">
        <v>6</v>
      </c>
      <c r="E31" s="95">
        <v>7</v>
      </c>
      <c r="F31" s="90"/>
      <c r="G31" s="94">
        <f>1.5+2</f>
        <v>3.5</v>
      </c>
      <c r="H31" s="144">
        <f>1+0.5-4</f>
        <v>-2.5</v>
      </c>
      <c r="I31" s="89">
        <f t="shared" si="0"/>
        <v>1</v>
      </c>
    </row>
    <row r="32" spans="1:9" ht="21" customHeight="1" x14ac:dyDescent="0.25">
      <c r="A32" s="123">
        <v>28</v>
      </c>
      <c r="B32" s="174" t="s">
        <v>173</v>
      </c>
      <c r="C32" s="87"/>
      <c r="D32" s="142">
        <v>9</v>
      </c>
      <c r="E32" s="92">
        <v>9</v>
      </c>
      <c r="F32" s="87"/>
      <c r="G32" s="91">
        <f>0</f>
        <v>0</v>
      </c>
      <c r="H32" s="98">
        <f>0</f>
        <v>0</v>
      </c>
      <c r="I32" s="89">
        <f t="shared" si="0"/>
        <v>0</v>
      </c>
    </row>
    <row r="33" spans="1:9" ht="18" x14ac:dyDescent="0.25">
      <c r="A33" s="128">
        <v>29</v>
      </c>
      <c r="B33" s="178" t="s">
        <v>181</v>
      </c>
      <c r="C33" s="87"/>
      <c r="D33" s="129">
        <v>10</v>
      </c>
      <c r="E33" s="145">
        <v>2</v>
      </c>
      <c r="F33" s="125"/>
      <c r="G33" s="140">
        <f>5</f>
        <v>5</v>
      </c>
      <c r="H33" s="137">
        <f>5+0.5-5-2-5</f>
        <v>-6.5</v>
      </c>
      <c r="I33" s="89">
        <f t="shared" si="0"/>
        <v>-1.5</v>
      </c>
    </row>
    <row r="34" spans="1:9" ht="18" x14ac:dyDescent="0.25">
      <c r="A34" s="139">
        <v>30</v>
      </c>
      <c r="B34" s="175" t="s">
        <v>183</v>
      </c>
      <c r="C34" s="87"/>
      <c r="D34" s="138">
        <v>7</v>
      </c>
      <c r="E34" s="149">
        <v>3</v>
      </c>
      <c r="F34" s="150"/>
      <c r="G34" s="151">
        <f>6.5-4-5-6</f>
        <v>-8.5</v>
      </c>
      <c r="H34" s="152">
        <f>9.5-5</f>
        <v>4.5</v>
      </c>
      <c r="I34" s="89">
        <f t="shared" si="0"/>
        <v>-4</v>
      </c>
    </row>
    <row r="35" spans="1:9" ht="18" hidden="1" x14ac:dyDescent="0.25">
      <c r="A35" s="103">
        <v>37</v>
      </c>
      <c r="B35" s="77"/>
      <c r="C35" s="87"/>
      <c r="D35" s="142"/>
      <c r="E35" s="92"/>
      <c r="F35" s="87"/>
      <c r="G35" s="91"/>
      <c r="H35" s="98"/>
      <c r="I35" s="89">
        <f t="shared" ref="I35:I37" si="1">SUM(F35:H35)</f>
        <v>0</v>
      </c>
    </row>
    <row r="36" spans="1:9" ht="18" hidden="1" x14ac:dyDescent="0.25">
      <c r="A36" s="103">
        <v>38</v>
      </c>
      <c r="B36" s="43"/>
      <c r="C36" s="90"/>
      <c r="D36" s="143"/>
      <c r="E36" s="95"/>
      <c r="F36" s="90"/>
      <c r="G36" s="94"/>
      <c r="H36" s="144"/>
      <c r="I36" s="89">
        <f t="shared" si="1"/>
        <v>0</v>
      </c>
    </row>
    <row r="37" spans="1:9" ht="18.75" hidden="1" thickBot="1" x14ac:dyDescent="0.3">
      <c r="A37" s="120">
        <v>39</v>
      </c>
      <c r="B37" s="120"/>
      <c r="C37" s="147"/>
      <c r="D37" s="153"/>
      <c r="E37" s="116"/>
      <c r="F37" s="154"/>
      <c r="G37" s="115"/>
      <c r="H37" s="101"/>
      <c r="I37" s="89">
        <f t="shared" si="1"/>
        <v>0</v>
      </c>
    </row>
    <row r="38" spans="1:9" ht="18" x14ac:dyDescent="0.25">
      <c r="A38" s="126"/>
      <c r="B38" s="126"/>
      <c r="C38" s="126"/>
      <c r="D38" s="126"/>
      <c r="E38" s="126"/>
      <c r="F38" s="126"/>
      <c r="G38" s="126"/>
      <c r="H38" s="126"/>
      <c r="I38" s="126"/>
    </row>
    <row r="39" spans="1:9" ht="18" x14ac:dyDescent="0.25">
      <c r="A39" s="126"/>
      <c r="B39" s="126"/>
      <c r="C39" s="126"/>
      <c r="D39" s="126"/>
      <c r="E39" s="126"/>
      <c r="F39" s="126"/>
      <c r="G39" s="126"/>
      <c r="H39" s="126"/>
      <c r="I39" s="126"/>
    </row>
    <row r="40" spans="1:9" ht="18" x14ac:dyDescent="0.25">
      <c r="A40" s="126"/>
      <c r="B40" s="126"/>
      <c r="C40" s="126"/>
      <c r="D40" s="126"/>
      <c r="E40" s="126"/>
      <c r="F40" s="126"/>
      <c r="G40" s="126"/>
      <c r="H40" s="126"/>
      <c r="I40" s="126"/>
    </row>
    <row r="41" spans="1:9" ht="18" x14ac:dyDescent="0.25">
      <c r="A41" s="126"/>
      <c r="B41" s="126"/>
      <c r="C41" s="126"/>
      <c r="D41" s="126"/>
      <c r="E41" s="126"/>
      <c r="F41" s="126"/>
      <c r="G41" s="126"/>
      <c r="H41" s="126"/>
      <c r="I41" s="126"/>
    </row>
    <row r="42" spans="1:9" ht="18" x14ac:dyDescent="0.25">
      <c r="A42" s="126"/>
      <c r="B42" s="126"/>
      <c r="C42" s="126"/>
      <c r="D42" s="126"/>
      <c r="E42" s="126"/>
      <c r="F42" s="126"/>
      <c r="G42" s="126"/>
      <c r="H42" s="126"/>
      <c r="I42" s="126"/>
    </row>
    <row r="43" spans="1:9" x14ac:dyDescent="0.25">
      <c r="A43" s="127"/>
      <c r="B43" s="127"/>
      <c r="C43" s="127"/>
      <c r="D43" s="127"/>
      <c r="E43" s="127"/>
      <c r="F43" s="127"/>
      <c r="G43" s="127"/>
      <c r="H43" s="127"/>
      <c r="I43" s="127"/>
    </row>
  </sheetData>
  <autoFilter ref="A1:I37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</autoFilter>
  <sortState ref="B6:I34">
    <sortCondition descending="1" ref="I5:I34"/>
  </sortState>
  <mergeCells count="6">
    <mergeCell ref="A1:I2"/>
    <mergeCell ref="A3:A4"/>
    <mergeCell ref="B3:B4"/>
    <mergeCell ref="D3:E3"/>
    <mergeCell ref="F3:H3"/>
    <mergeCell ref="I3:I4"/>
  </mergeCells>
  <pageMargins left="0.70866141732283472" right="0.70866141732283472" top="0.74803149606299213" bottom="0.74803149606299213" header="0.31496062992125984" footer="0.31496062992125984"/>
  <pageSetup paperSize="9" scale="6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21.06</vt:lpstr>
      <vt:lpstr>28.06</vt:lpstr>
      <vt:lpstr>05.07</vt:lpstr>
      <vt:lpstr>12.07 </vt:lpstr>
      <vt:lpstr>19.07</vt:lpstr>
      <vt:lpstr>26.07</vt:lpstr>
      <vt:lpstr>02.08</vt:lpstr>
      <vt:lpstr>09.08</vt:lpstr>
      <vt:lpstr>16.08</vt:lpstr>
      <vt:lpstr>30.08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2016-08-31T09:23:35Z</dcterms:modified>
</cp:coreProperties>
</file>