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81" firstSheet="1" activeTab="2"/>
  </bookViews>
  <sheets>
    <sheet name="Общие результаты" sheetId="4" r:id="rId1"/>
    <sheet name="Регистрация" sheetId="5" r:id="rId2"/>
    <sheet name="Winni" sheetId="7" r:id="rId3"/>
    <sheet name="Kozak I razboiniki" sheetId="6" r:id="rId4"/>
    <sheet name="Ognem Racing" sheetId="15" r:id="rId5"/>
    <sheet name="RocknRolla" sheetId="12" r:id="rId6"/>
    <sheet name="Mesnyki" sheetId="8" r:id="rId7"/>
    <sheet name="5-gt" sheetId="14" r:id="rId8"/>
    <sheet name="Marakesh" sheetId="16" r:id="rId9"/>
    <sheet name="15А18" sheetId="11" r:id="rId10"/>
    <sheet name="Fobas I Demos" sheetId="13" r:id="rId11"/>
    <sheet name="Vafli" sheetId="10" r:id="rId12"/>
    <sheet name="Kapitan Slow" sheetId="9" r:id="rId13"/>
  </sheets>
  <calcPr calcId="145621"/>
</workbook>
</file>

<file path=xl/calcChain.xml><?xml version="1.0" encoding="utf-8"?>
<calcChain xmlns="http://schemas.openxmlformats.org/spreadsheetml/2006/main">
  <c r="G13" i="16" l="1"/>
  <c r="G12" i="16"/>
  <c r="G11" i="16"/>
  <c r="G10" i="16"/>
  <c r="G13" i="11"/>
  <c r="G12" i="11"/>
  <c r="G11" i="11"/>
  <c r="G10" i="11"/>
  <c r="G13" i="12"/>
  <c r="G12" i="12"/>
  <c r="G15" i="12" s="1"/>
  <c r="G11" i="12"/>
  <c r="G10" i="12"/>
  <c r="G13" i="13"/>
  <c r="G12" i="13"/>
  <c r="G11" i="13"/>
  <c r="G10" i="13"/>
  <c r="G14" i="14"/>
  <c r="I15" i="14"/>
  <c r="G15" i="14"/>
  <c r="F15" i="14"/>
  <c r="G13" i="14"/>
  <c r="G12" i="14"/>
  <c r="G11" i="14"/>
  <c r="G10" i="14"/>
  <c r="I13" i="14"/>
  <c r="E12" i="14"/>
  <c r="E13" i="14"/>
  <c r="E14" i="14"/>
  <c r="G11" i="15"/>
  <c r="G12" i="15"/>
  <c r="G13" i="15"/>
  <c r="G10" i="15"/>
  <c r="G13" i="10"/>
  <c r="G12" i="10"/>
  <c r="G11" i="10"/>
  <c r="G10" i="10"/>
  <c r="G14" i="9"/>
  <c r="G13" i="9"/>
  <c r="G12" i="9"/>
  <c r="G11" i="9"/>
  <c r="G16" i="9" s="1"/>
  <c r="G10" i="9"/>
  <c r="G13" i="8"/>
  <c r="G12" i="8"/>
  <c r="G13" i="7"/>
  <c r="G12" i="7"/>
  <c r="G11" i="7"/>
  <c r="G10" i="7"/>
  <c r="G13" i="6"/>
  <c r="G12" i="6"/>
  <c r="G11" i="6"/>
  <c r="G10" i="6"/>
  <c r="H8" i="4"/>
  <c r="F15" i="9"/>
  <c r="F16" i="9"/>
  <c r="K14" i="9"/>
  <c r="L14" i="9" s="1"/>
  <c r="I14" i="9"/>
  <c r="E14" i="9"/>
  <c r="L11" i="12"/>
  <c r="G14" i="12"/>
  <c r="F15" i="12"/>
  <c r="F14" i="12"/>
  <c r="G15" i="16"/>
  <c r="F15" i="16"/>
  <c r="G14" i="16"/>
  <c r="F14" i="16"/>
  <c r="G15" i="11"/>
  <c r="F15" i="11"/>
  <c r="G14" i="11"/>
  <c r="F14" i="11"/>
  <c r="G15" i="13"/>
  <c r="F15" i="13"/>
  <c r="G14" i="13"/>
  <c r="F14" i="13"/>
  <c r="G16" i="14"/>
  <c r="F16" i="14"/>
  <c r="G15" i="10"/>
  <c r="F15" i="10"/>
  <c r="G14" i="10"/>
  <c r="F14" i="10"/>
  <c r="G15" i="9"/>
  <c r="L11" i="16"/>
  <c r="L10" i="16"/>
  <c r="L11" i="11"/>
  <c r="L10" i="11"/>
  <c r="L11" i="13"/>
  <c r="L10" i="13"/>
  <c r="L11" i="14"/>
  <c r="L10" i="14"/>
  <c r="L11" i="10"/>
  <c r="L10" i="10"/>
  <c r="L11" i="15"/>
  <c r="L10" i="15"/>
  <c r="L11" i="8"/>
  <c r="L10" i="8"/>
  <c r="L11" i="7"/>
  <c r="L10" i="7"/>
  <c r="F15" i="15"/>
  <c r="F14" i="15"/>
  <c r="G15" i="8"/>
  <c r="F15" i="8"/>
  <c r="G14" i="8"/>
  <c r="F14" i="8"/>
  <c r="G15" i="7"/>
  <c r="F15" i="7"/>
  <c r="G14" i="7"/>
  <c r="F14" i="7"/>
  <c r="G15" i="6"/>
  <c r="G14" i="6"/>
  <c r="F15" i="6"/>
  <c r="F14" i="6"/>
  <c r="G11" i="8"/>
  <c r="G10" i="8"/>
  <c r="G16" i="16"/>
  <c r="F16" i="16"/>
  <c r="K13" i="16"/>
  <c r="L13" i="16" s="1"/>
  <c r="I13" i="16"/>
  <c r="E13" i="16"/>
  <c r="K12" i="16"/>
  <c r="L12" i="16" s="1"/>
  <c r="I12" i="16"/>
  <c r="E12" i="16"/>
  <c r="K11" i="16"/>
  <c r="I11" i="16"/>
  <c r="E11" i="16"/>
  <c r="K10" i="16"/>
  <c r="I10" i="16"/>
  <c r="E10" i="16"/>
  <c r="J27" i="5"/>
  <c r="J28" i="5"/>
  <c r="K27" i="5" s="1"/>
  <c r="I15" i="16" l="1"/>
  <c r="I16" i="16"/>
  <c r="I14" i="16"/>
  <c r="I12" i="14"/>
  <c r="G15" i="15"/>
  <c r="G14" i="15"/>
  <c r="G16" i="15" l="1"/>
  <c r="F16" i="15"/>
  <c r="K13" i="15"/>
  <c r="L13" i="15" s="1"/>
  <c r="I13" i="15"/>
  <c r="E13" i="15"/>
  <c r="K12" i="15"/>
  <c r="L12" i="15" s="1"/>
  <c r="I12" i="15"/>
  <c r="E12" i="15"/>
  <c r="K11" i="15"/>
  <c r="I11" i="15"/>
  <c r="I15" i="15" s="1"/>
  <c r="E11" i="15"/>
  <c r="K10" i="15"/>
  <c r="I10" i="15"/>
  <c r="E10" i="15"/>
  <c r="G17" i="14"/>
  <c r="F17" i="14"/>
  <c r="K14" i="14"/>
  <c r="L14" i="14" s="1"/>
  <c r="I14" i="14"/>
  <c r="K12" i="14"/>
  <c r="L12" i="14" s="1"/>
  <c r="K11" i="14"/>
  <c r="I11" i="14"/>
  <c r="E11" i="14"/>
  <c r="K10" i="14"/>
  <c r="I10" i="14"/>
  <c r="E10" i="14"/>
  <c r="G16" i="13"/>
  <c r="F16" i="13"/>
  <c r="K13" i="13"/>
  <c r="L13" i="13" s="1"/>
  <c r="I13" i="13"/>
  <c r="E13" i="13"/>
  <c r="K12" i="13"/>
  <c r="L12" i="13" s="1"/>
  <c r="I12" i="13"/>
  <c r="E12" i="13"/>
  <c r="K11" i="13"/>
  <c r="I11" i="13"/>
  <c r="I15" i="13" s="1"/>
  <c r="E11" i="13"/>
  <c r="K10" i="13"/>
  <c r="I10" i="13"/>
  <c r="E10" i="13"/>
  <c r="G16" i="12"/>
  <c r="F16" i="12"/>
  <c r="K13" i="12"/>
  <c r="I13" i="12"/>
  <c r="E13" i="12"/>
  <c r="K12" i="12"/>
  <c r="L12" i="12" s="1"/>
  <c r="I12" i="12"/>
  <c r="I15" i="12" s="1"/>
  <c r="E12" i="12"/>
  <c r="K11" i="12"/>
  <c r="I11" i="12"/>
  <c r="E11" i="12"/>
  <c r="K10" i="12"/>
  <c r="L10" i="12" s="1"/>
  <c r="I10" i="12"/>
  <c r="E10" i="12"/>
  <c r="G16" i="11"/>
  <c r="F16" i="11"/>
  <c r="K13" i="11"/>
  <c r="L13" i="11" s="1"/>
  <c r="I13" i="11"/>
  <c r="E13" i="11"/>
  <c r="K12" i="11"/>
  <c r="L12" i="11" s="1"/>
  <c r="I12" i="11"/>
  <c r="E12" i="11"/>
  <c r="K11" i="11"/>
  <c r="I11" i="11"/>
  <c r="I15" i="11" s="1"/>
  <c r="E11" i="11"/>
  <c r="K10" i="11"/>
  <c r="I10" i="11"/>
  <c r="I14" i="11" s="1"/>
  <c r="E10" i="11"/>
  <c r="G16" i="10"/>
  <c r="F16" i="10"/>
  <c r="K13" i="10"/>
  <c r="L13" i="10" s="1"/>
  <c r="I13" i="10"/>
  <c r="E13" i="10"/>
  <c r="K12" i="10"/>
  <c r="L12" i="10" s="1"/>
  <c r="I12" i="10"/>
  <c r="E12" i="10"/>
  <c r="K11" i="10"/>
  <c r="I11" i="10"/>
  <c r="E11" i="10"/>
  <c r="K10" i="10"/>
  <c r="I10" i="10"/>
  <c r="I14" i="10" s="1"/>
  <c r="E10" i="10"/>
  <c r="G17" i="9"/>
  <c r="F17" i="9"/>
  <c r="K13" i="9"/>
  <c r="L13" i="9" s="1"/>
  <c r="I13" i="9"/>
  <c r="E13" i="9"/>
  <c r="K12" i="9"/>
  <c r="L12" i="9" s="1"/>
  <c r="I12" i="9"/>
  <c r="E12" i="9"/>
  <c r="K11" i="9"/>
  <c r="L11" i="9" s="1"/>
  <c r="I11" i="9"/>
  <c r="I16" i="9" s="1"/>
  <c r="E11" i="9"/>
  <c r="K10" i="9"/>
  <c r="L10" i="9" s="1"/>
  <c r="I10" i="9"/>
  <c r="I15" i="9" s="1"/>
  <c r="E10" i="9"/>
  <c r="G16" i="8"/>
  <c r="F16" i="8"/>
  <c r="K13" i="8"/>
  <c r="L13" i="8" s="1"/>
  <c r="I13" i="8"/>
  <c r="I14" i="8" s="1"/>
  <c r="E13" i="8"/>
  <c r="K12" i="8"/>
  <c r="L12" i="8" s="1"/>
  <c r="I12" i="8"/>
  <c r="I15" i="8" s="1"/>
  <c r="E12" i="8"/>
  <c r="K11" i="8"/>
  <c r="I11" i="8"/>
  <c r="E11" i="8"/>
  <c r="K10" i="8"/>
  <c r="I10" i="8"/>
  <c r="E10" i="8"/>
  <c r="G16" i="7"/>
  <c r="F16" i="7"/>
  <c r="K13" i="7"/>
  <c r="L13" i="7" s="1"/>
  <c r="I13" i="7"/>
  <c r="E13" i="7"/>
  <c r="K12" i="7"/>
  <c r="L12" i="7" s="1"/>
  <c r="I12" i="7"/>
  <c r="E12" i="7"/>
  <c r="K11" i="7"/>
  <c r="I11" i="7"/>
  <c r="E11" i="7"/>
  <c r="K10" i="7"/>
  <c r="I10" i="7"/>
  <c r="E10" i="7"/>
  <c r="F16" i="6"/>
  <c r="K13" i="6"/>
  <c r="L13" i="6" s="1"/>
  <c r="I13" i="6"/>
  <c r="E13" i="6"/>
  <c r="K12" i="6"/>
  <c r="L12" i="6" s="1"/>
  <c r="I12" i="6"/>
  <c r="E12" i="6"/>
  <c r="K11" i="6"/>
  <c r="I11" i="6"/>
  <c r="I15" i="6" s="1"/>
  <c r="E11" i="6"/>
  <c r="K10" i="6"/>
  <c r="L10" i="6" s="1"/>
  <c r="I10" i="6"/>
  <c r="G16" i="6"/>
  <c r="E10" i="6"/>
  <c r="J7" i="5"/>
  <c r="K7" i="5"/>
  <c r="J8" i="5"/>
  <c r="J9" i="5"/>
  <c r="K9" i="5" s="1"/>
  <c r="J10" i="5"/>
  <c r="J11" i="5"/>
  <c r="K11" i="5" s="1"/>
  <c r="J12" i="5"/>
  <c r="J13" i="5"/>
  <c r="J14" i="5"/>
  <c r="J15" i="5"/>
  <c r="K15" i="5" s="1"/>
  <c r="J16" i="5"/>
  <c r="J17" i="5"/>
  <c r="J18" i="5"/>
  <c r="J19" i="5"/>
  <c r="J20" i="5"/>
  <c r="J21" i="5"/>
  <c r="J22" i="5"/>
  <c r="J23" i="5"/>
  <c r="J24" i="5"/>
  <c r="K23" i="5" s="1"/>
  <c r="J25" i="5"/>
  <c r="K25" i="5" s="1"/>
  <c r="J26" i="5"/>
  <c r="I16" i="11" l="1"/>
  <c r="I16" i="12"/>
  <c r="I14" i="12"/>
  <c r="I14" i="13"/>
  <c r="I16" i="13"/>
  <c r="I16" i="14"/>
  <c r="I17" i="14"/>
  <c r="I14" i="15"/>
  <c r="I16" i="15"/>
  <c r="I15" i="10"/>
  <c r="I16" i="10"/>
  <c r="I17" i="9"/>
  <c r="I16" i="8"/>
  <c r="I15" i="7"/>
  <c r="I16" i="7"/>
  <c r="I14" i="7"/>
  <c r="I14" i="6"/>
  <c r="L13" i="12"/>
  <c r="K19" i="5"/>
  <c r="K17" i="5"/>
  <c r="I16" i="6"/>
  <c r="L11" i="6"/>
  <c r="K21" i="5"/>
  <c r="K13" i="5"/>
</calcChain>
</file>

<file path=xl/comments1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sharedStrings.xml><?xml version="1.0" encoding="utf-8"?>
<sst xmlns="http://schemas.openxmlformats.org/spreadsheetml/2006/main" count="483" uniqueCount="189">
  <si>
    <t>Место в гонке</t>
  </si>
  <si>
    <t>Команда</t>
  </si>
  <si>
    <t>№ в гонке</t>
  </si>
  <si>
    <t>Квала</t>
  </si>
  <si>
    <t>Гонка</t>
  </si>
  <si>
    <t>Лучший круг в гонке</t>
  </si>
  <si>
    <t>Время</t>
  </si>
  <si>
    <t>Место</t>
  </si>
  <si>
    <t>Круги</t>
  </si>
  <si>
    <t>Время/от лидера</t>
  </si>
  <si>
    <t>От места выше</t>
  </si>
  <si>
    <t>На круге</t>
  </si>
  <si>
    <t>Kozak I razboiniki</t>
  </si>
  <si>
    <t>-</t>
  </si>
  <si>
    <t>Winni</t>
  </si>
  <si>
    <t>Mesnyki</t>
  </si>
  <si>
    <t>1 круг</t>
  </si>
  <si>
    <t>15A18</t>
  </si>
  <si>
    <t>5 кругов</t>
  </si>
  <si>
    <t>Серия мини марафонов "Большие Гонки 2016", 8-й этап, 20.08.16</t>
  </si>
  <si>
    <t>10-2</t>
  </si>
  <si>
    <t>Голубченко Саша</t>
  </si>
  <si>
    <t>85,5</t>
  </si>
  <si>
    <t>10-1</t>
  </si>
  <si>
    <t>Манило Денис</t>
  </si>
  <si>
    <t>9-2</t>
  </si>
  <si>
    <t>9-1</t>
  </si>
  <si>
    <t>8-2</t>
  </si>
  <si>
    <t>Гобади Курош</t>
  </si>
  <si>
    <t>8-1</t>
  </si>
  <si>
    <t>Таволжан Виталий</t>
  </si>
  <si>
    <t>7-2</t>
  </si>
  <si>
    <t>Наум</t>
  </si>
  <si>
    <t>6-2</t>
  </si>
  <si>
    <t>6-1</t>
  </si>
  <si>
    <t>Бахмацкий Олег</t>
  </si>
  <si>
    <t>4-2</t>
  </si>
  <si>
    <t>4-1</t>
  </si>
  <si>
    <t xml:space="preserve"> </t>
  </si>
  <si>
    <t>3-2</t>
  </si>
  <si>
    <t>3-1</t>
  </si>
  <si>
    <t>Звягин Григорий</t>
  </si>
  <si>
    <t>5-gt</t>
  </si>
  <si>
    <t>2-2</t>
  </si>
  <si>
    <t>2-1</t>
  </si>
  <si>
    <t>Ткаченко Антон</t>
  </si>
  <si>
    <t>RocknRolla</t>
  </si>
  <si>
    <t>1-2</t>
  </si>
  <si>
    <t>1-1</t>
  </si>
  <si>
    <t>Среднее</t>
  </si>
  <si>
    <t>Итого</t>
  </si>
  <si>
    <t>бонус</t>
  </si>
  <si>
    <t>карт</t>
  </si>
  <si>
    <t>Квалификация</t>
  </si>
  <si>
    <t>Бонус</t>
  </si>
  <si>
    <t>Вес</t>
  </si>
  <si>
    <t>№</t>
  </si>
  <si>
    <t>Пилот</t>
  </si>
  <si>
    <t>Регистрационная форма</t>
  </si>
  <si>
    <t>5-1</t>
  </si>
  <si>
    <t>5-2</t>
  </si>
  <si>
    <t>7-1</t>
  </si>
  <si>
    <t>Обяза-тельные</t>
  </si>
  <si>
    <t>Круг</t>
  </si>
  <si>
    <t>кругов на отрезке</t>
  </si>
  <si>
    <t>Статистика по кругам</t>
  </si>
  <si>
    <t>Общее время гонки</t>
  </si>
  <si>
    <t>Время на трассе</t>
  </si>
  <si>
    <t>Лучший круг</t>
  </si>
  <si>
    <t>Среднее на отрезке</t>
  </si>
  <si>
    <t>Кругов в 0,1 от лучшего</t>
  </si>
  <si>
    <t>стабильность</t>
  </si>
  <si>
    <t>отрезок</t>
  </si>
  <si>
    <t>всего у пилота</t>
  </si>
  <si>
    <t>Питы</t>
  </si>
  <si>
    <t>Штрафы/ бонусы (сек)</t>
  </si>
  <si>
    <t>бонус за вес</t>
  </si>
  <si>
    <t>Финиш</t>
  </si>
  <si>
    <t>Денис</t>
  </si>
  <si>
    <t>Саша</t>
  </si>
  <si>
    <t>Чемпионат мини марафон "Большие Гонки", 8-й этап</t>
  </si>
  <si>
    <t>KapitanSlow</t>
  </si>
  <si>
    <t>Синани Влад</t>
  </si>
  <si>
    <t>Булавинов Андрей</t>
  </si>
  <si>
    <t>Fobas I Demos</t>
  </si>
  <si>
    <t>Звягин Дмитрий</t>
  </si>
  <si>
    <t>Бицюра Александр</t>
  </si>
  <si>
    <t>98,5</t>
  </si>
  <si>
    <t>104,9</t>
  </si>
  <si>
    <t>Звягин Григорй</t>
  </si>
  <si>
    <t>Бурим Сергей</t>
  </si>
  <si>
    <t>57,6</t>
  </si>
  <si>
    <t>70,6</t>
  </si>
  <si>
    <t>Ognem Racing</t>
  </si>
  <si>
    <t>Паша Пикулин</t>
  </si>
  <si>
    <t>Тыщенко Миша</t>
  </si>
  <si>
    <t>75,1</t>
  </si>
  <si>
    <t>Лабинский Коля</t>
  </si>
  <si>
    <t>80,4</t>
  </si>
  <si>
    <t>86,2</t>
  </si>
  <si>
    <t>Шутка Виталий</t>
  </si>
  <si>
    <t>Пилипчук Василий</t>
  </si>
  <si>
    <t>76,8</t>
  </si>
  <si>
    <t>Потапенко Вячеслав</t>
  </si>
  <si>
    <t>Зосим Виктория</t>
  </si>
  <si>
    <t>Хлопонин Андрей</t>
  </si>
  <si>
    <t>Кичмаренко Олег</t>
  </si>
  <si>
    <t>11-1</t>
  </si>
  <si>
    <t>11-2</t>
  </si>
  <si>
    <t>Vafli</t>
  </si>
  <si>
    <t>Marakesh</t>
  </si>
  <si>
    <t>15А18</t>
  </si>
  <si>
    <t>+</t>
  </si>
  <si>
    <t>Серия мини марафонов "Большие Гонки", 20.08.2016, Конфигурация №2R</t>
  </si>
  <si>
    <t>Конфигурация №2R</t>
  </si>
  <si>
    <t>Kapitan Slow</t>
  </si>
  <si>
    <t>Пикулин Паша</t>
  </si>
  <si>
    <t>Пилипчук Всилий</t>
  </si>
  <si>
    <t>2:07.16</t>
  </si>
  <si>
    <t>2:14.54</t>
  </si>
  <si>
    <t>штраф, линия (1-й пит)</t>
  </si>
  <si>
    <t>Антон</t>
  </si>
  <si>
    <t>Василий</t>
  </si>
  <si>
    <t>Виталий</t>
  </si>
  <si>
    <t>Курош</t>
  </si>
  <si>
    <t>Олег</t>
  </si>
  <si>
    <t>Дмитрий</t>
  </si>
  <si>
    <t>Александр</t>
  </si>
  <si>
    <t>Сергей</t>
  </si>
  <si>
    <t>Григорий</t>
  </si>
  <si>
    <t>Паша</t>
  </si>
  <si>
    <t>Миша</t>
  </si>
  <si>
    <t>Виктория</t>
  </si>
  <si>
    <t>Вячеслав</t>
  </si>
  <si>
    <t>Влад</t>
  </si>
  <si>
    <t>Андрей</t>
  </si>
  <si>
    <t>Коля</t>
  </si>
  <si>
    <t>7</t>
  </si>
  <si>
    <t>2:07.44</t>
  </si>
  <si>
    <t>2:07.38</t>
  </si>
  <si>
    <t>2:15.05</t>
  </si>
  <si>
    <t>2:03.18</t>
  </si>
  <si>
    <t>2:12.02</t>
  </si>
  <si>
    <t>2:21.97</t>
  </si>
  <si>
    <t>2:15.27</t>
  </si>
  <si>
    <t>1:18.55</t>
  </si>
  <si>
    <t>2:22.61</t>
  </si>
  <si>
    <t>2:13.57</t>
  </si>
  <si>
    <t>Ognem racing</t>
  </si>
  <si>
    <t>Fobas i Demos</t>
  </si>
  <si>
    <t>2:00:37.00</t>
  </si>
  <si>
    <t>2 круга</t>
  </si>
  <si>
    <t>6 кругов</t>
  </si>
  <si>
    <t>8 кругов</t>
  </si>
  <si>
    <t>2:24.39</t>
  </si>
  <si>
    <t>2:14.94</t>
  </si>
  <si>
    <t>бонус за время</t>
  </si>
  <si>
    <t>штраф, равные против 4</t>
  </si>
  <si>
    <t>2:15.25</t>
  </si>
  <si>
    <t>2:20.89</t>
  </si>
  <si>
    <t>штраф, линия пит-стопа</t>
  </si>
  <si>
    <t>2:14.42</t>
  </si>
  <si>
    <t>2:28.60</t>
  </si>
  <si>
    <t>2:16.12</t>
  </si>
  <si>
    <t>2:20.31</t>
  </si>
  <si>
    <t>штраф на пит-стопе</t>
  </si>
  <si>
    <t>2:15.19</t>
  </si>
  <si>
    <t>2:26.03</t>
  </si>
  <si>
    <t>штраф, линия пит-стопа (1-й пит)</t>
  </si>
  <si>
    <t>штраф, минималка на человека</t>
  </si>
  <si>
    <t>12 кругов</t>
  </si>
  <si>
    <t>2:15.16</t>
  </si>
  <si>
    <t>2:14.76</t>
  </si>
  <si>
    <t>штраф, равные на трассе</t>
  </si>
  <si>
    <t>13</t>
  </si>
  <si>
    <t>компенсация поломки</t>
  </si>
  <si>
    <t>2:14.46</t>
  </si>
  <si>
    <t>2:16.57</t>
  </si>
  <si>
    <t>2:14.85</t>
  </si>
  <si>
    <t>2:26.21</t>
  </si>
  <si>
    <t>2:14.17</t>
  </si>
  <si>
    <t>штраф, перепутали машины</t>
  </si>
  <si>
    <t>2:14.70</t>
  </si>
  <si>
    <t>2:22.44</t>
  </si>
  <si>
    <t>выезд с пит-стопа</t>
  </si>
  <si>
    <t>штраф, с-образный поворот</t>
  </si>
  <si>
    <t>2:25.49</t>
  </si>
  <si>
    <t>2:14.79</t>
  </si>
  <si>
    <t>штраф, максимальное время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</si>
</sst>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h:mm:ss;@"/>
    <numFmt numFmtId="167" formatCode="mm:ss.0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5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trike/>
      <sz val="12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8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5" xfId="1" applyFont="1" applyFill="1" applyBorder="1" applyAlignment="1">
      <alignment horizontal="left" vertical="center"/>
    </xf>
    <xf numFmtId="0" fontId="1" fillId="0" borderId="7" xfId="1" applyFill="1" applyBorder="1" applyAlignment="1">
      <alignment horizontal="center" vertical="center"/>
    </xf>
    <xf numFmtId="164" fontId="1" fillId="0" borderId="4" xfId="1" applyNumberForma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2" fontId="1" fillId="0" borderId="16" xfId="1" applyNumberFormat="1" applyFont="1" applyFill="1" applyBorder="1" applyAlignment="1">
      <alignment horizontal="center" vertical="center"/>
    </xf>
    <xf numFmtId="2" fontId="1" fillId="0" borderId="2" xfId="1" applyNumberFormat="1" applyFont="1" applyFill="1" applyBorder="1" applyAlignment="1">
      <alignment horizontal="center" vertical="center"/>
    </xf>
    <xf numFmtId="2" fontId="1" fillId="0" borderId="4" xfId="1" applyNumberFormat="1" applyFill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Font="1" applyFill="1" applyBorder="1" applyAlignment="1">
      <alignment horizontal="left" vertical="center"/>
    </xf>
    <xf numFmtId="0" fontId="1" fillId="0" borderId="19" xfId="1" applyFill="1" applyBorder="1" applyAlignment="1">
      <alignment horizontal="center" vertical="center"/>
    </xf>
    <xf numFmtId="164" fontId="1" fillId="0" borderId="20" xfId="1" applyNumberFormat="1" applyFill="1" applyBorder="1" applyAlignment="1">
      <alignment horizontal="center" vertical="center"/>
    </xf>
    <xf numFmtId="0" fontId="1" fillId="0" borderId="21" xfId="1" applyFill="1" applyBorder="1" applyAlignment="1">
      <alignment horizontal="center" vertical="center"/>
    </xf>
    <xf numFmtId="0" fontId="1" fillId="0" borderId="22" xfId="1" applyFill="1" applyBorder="1" applyAlignment="1">
      <alignment horizontal="center" vertical="center"/>
    </xf>
    <xf numFmtId="2" fontId="1" fillId="0" borderId="23" xfId="1" applyNumberFormat="1" applyFill="1" applyBorder="1" applyAlignment="1">
      <alignment horizontal="center" vertical="center"/>
    </xf>
    <xf numFmtId="2" fontId="1" fillId="0" borderId="24" xfId="1" applyNumberFormat="1" applyFill="1" applyBorder="1" applyAlignment="1">
      <alignment horizontal="center" vertical="center"/>
    </xf>
    <xf numFmtId="2" fontId="1" fillId="0" borderId="20" xfId="1" applyNumberFormat="1" applyFill="1" applyBorder="1" applyAlignment="1">
      <alignment horizontal="center" vertical="center"/>
    </xf>
    <xf numFmtId="0" fontId="1" fillId="0" borderId="20" xfId="1" applyFill="1" applyBorder="1" applyAlignment="1">
      <alignment horizontal="center" vertical="center"/>
    </xf>
    <xf numFmtId="0" fontId="1" fillId="0" borderId="23" xfId="1" applyFill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22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164" fontId="1" fillId="0" borderId="20" xfId="1" applyNumberFormat="1" applyFont="1" applyFill="1" applyBorder="1" applyAlignment="1">
      <alignment horizontal="center" vertical="center"/>
    </xf>
    <xf numFmtId="2" fontId="1" fillId="0" borderId="24" xfId="1" applyNumberFormat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18" xfId="1" applyFill="1" applyBorder="1" applyAlignment="1">
      <alignment horizontal="left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left"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2" fontId="1" fillId="0" borderId="32" xfId="1" applyNumberFormat="1" applyBorder="1" applyAlignment="1">
      <alignment horizontal="center" vertical="center"/>
    </xf>
    <xf numFmtId="0" fontId="1" fillId="0" borderId="0" xfId="1" applyAlignment="1"/>
    <xf numFmtId="0" fontId="1" fillId="0" borderId="0" xfId="1" applyFill="1" applyBorder="1" applyAlignment="1"/>
    <xf numFmtId="0" fontId="5" fillId="0" borderId="33" xfId="1" applyFont="1" applyFill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49" fontId="4" fillId="0" borderId="22" xfId="1" applyNumberFormat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49" fontId="4" fillId="0" borderId="13" xfId="1" applyNumberFormat="1" applyFont="1" applyFill="1" applyBorder="1" applyAlignment="1">
      <alignment horizontal="center" vertical="center"/>
    </xf>
    <xf numFmtId="49" fontId="4" fillId="0" borderId="37" xfId="1" applyNumberFormat="1" applyFont="1" applyFill="1" applyBorder="1" applyAlignment="1">
      <alignment horizontal="center" vertical="center"/>
    </xf>
    <xf numFmtId="164" fontId="4" fillId="0" borderId="23" xfId="1" applyNumberFormat="1" applyFont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165" fontId="5" fillId="0" borderId="24" xfId="1" applyNumberFormat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4" fillId="0" borderId="23" xfId="1" applyFont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164" fontId="4" fillId="0" borderId="16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49" fontId="4" fillId="0" borderId="20" xfId="1" applyNumberFormat="1" applyFont="1" applyFill="1" applyBorder="1" applyAlignment="1">
      <alignment horizontal="center" vertical="center"/>
    </xf>
    <xf numFmtId="49" fontId="4" fillId="0" borderId="38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49" fontId="4" fillId="0" borderId="28" xfId="1" applyNumberFormat="1" applyFont="1" applyFill="1" applyBorder="1" applyAlignment="1">
      <alignment horizontal="center" vertical="center"/>
    </xf>
    <xf numFmtId="164" fontId="4" fillId="0" borderId="31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11" fillId="0" borderId="23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2" fontId="11" fillId="0" borderId="35" xfId="1" applyNumberFormat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1" fillId="0" borderId="33" xfId="1" applyFont="1" applyBorder="1" applyAlignment="1">
      <alignment horizontal="center" vertical="center"/>
    </xf>
    <xf numFmtId="2" fontId="11" fillId="0" borderId="33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wrapText="1"/>
    </xf>
    <xf numFmtId="0" fontId="12" fillId="0" borderId="23" xfId="1" applyFont="1" applyBorder="1" applyAlignment="1">
      <alignment horizontal="center" vertical="center"/>
    </xf>
    <xf numFmtId="0" fontId="13" fillId="0" borderId="23" xfId="1" applyFont="1" applyBorder="1" applyAlignment="1">
      <alignment vertical="center"/>
    </xf>
    <xf numFmtId="0" fontId="13" fillId="0" borderId="23" xfId="1" applyFont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164" fontId="14" fillId="0" borderId="23" xfId="1" applyNumberFormat="1" applyFont="1" applyFill="1" applyBorder="1" applyAlignment="1">
      <alignment horizontal="center" vertical="center"/>
    </xf>
    <xf numFmtId="164" fontId="13" fillId="0" borderId="22" xfId="1" applyNumberFormat="1" applyFont="1" applyFill="1" applyBorder="1" applyAlignment="1">
      <alignment horizontal="center" vertical="center"/>
    </xf>
    <xf numFmtId="166" fontId="13" fillId="0" borderId="23" xfId="1" applyNumberFormat="1" applyFont="1" applyBorder="1" applyAlignment="1">
      <alignment horizontal="center" vertical="center"/>
    </xf>
    <xf numFmtId="166" fontId="15" fillId="0" borderId="23" xfId="1" applyNumberFormat="1" applyFont="1" applyBorder="1" applyAlignment="1">
      <alignment horizontal="center" vertical="center"/>
    </xf>
    <xf numFmtId="167" fontId="12" fillId="0" borderId="23" xfId="1" applyNumberFormat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" fillId="0" borderId="42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6" fillId="0" borderId="35" xfId="1" applyFont="1" applyFill="1" applyBorder="1" applyAlignment="1">
      <alignment horizontal="center" vertical="center"/>
    </xf>
    <xf numFmtId="164" fontId="16" fillId="0" borderId="23" xfId="1" applyNumberFormat="1" applyFont="1" applyFill="1" applyBorder="1" applyAlignment="1">
      <alignment horizontal="center" vertical="center"/>
    </xf>
    <xf numFmtId="0" fontId="17" fillId="2" borderId="41" xfId="1" applyFont="1" applyFill="1" applyBorder="1" applyAlignment="1">
      <alignment horizontal="center" vertical="center"/>
    </xf>
    <xf numFmtId="164" fontId="14" fillId="0" borderId="22" xfId="1" applyNumberFormat="1" applyFont="1" applyFill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3" fillId="0" borderId="35" xfId="1" applyFont="1" applyBorder="1" applyAlignment="1">
      <alignment vertical="center"/>
    </xf>
    <xf numFmtId="0" fontId="13" fillId="0" borderId="35" xfId="1" applyFont="1" applyBorder="1" applyAlignment="1">
      <alignment horizontal="center" vertical="center"/>
    </xf>
    <xf numFmtId="2" fontId="17" fillId="0" borderId="41" xfId="1" applyNumberFormat="1" applyFont="1" applyFill="1" applyBorder="1" applyAlignment="1">
      <alignment horizontal="center" vertical="center"/>
    </xf>
    <xf numFmtId="164" fontId="14" fillId="0" borderId="13" xfId="1" applyNumberFormat="1" applyFont="1" applyFill="1" applyBorder="1" applyAlignment="1">
      <alignment horizontal="center" vertical="center"/>
    </xf>
    <xf numFmtId="0" fontId="14" fillId="0" borderId="35" xfId="1" applyFont="1" applyFill="1" applyBorder="1" applyAlignment="1">
      <alignment horizontal="center" vertical="center"/>
    </xf>
    <xf numFmtId="164" fontId="13" fillId="0" borderId="13" xfId="1" applyNumberFormat="1" applyFont="1" applyFill="1" applyBorder="1" applyAlignment="1">
      <alignment horizontal="center" vertical="center"/>
    </xf>
    <xf numFmtId="166" fontId="13" fillId="0" borderId="35" xfId="1" applyNumberFormat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13" fillId="0" borderId="43" xfId="1" applyFont="1" applyBorder="1" applyAlignment="1">
      <alignment vertical="center"/>
    </xf>
    <xf numFmtId="0" fontId="13" fillId="0" borderId="43" xfId="1" applyFont="1" applyBorder="1" applyAlignment="1">
      <alignment horizontal="center" vertical="center"/>
    </xf>
    <xf numFmtId="164" fontId="12" fillId="0" borderId="38" xfId="1" applyNumberFormat="1" applyFont="1" applyBorder="1" applyAlignment="1">
      <alignment horizontal="center" vertical="center"/>
    </xf>
    <xf numFmtId="164" fontId="12" fillId="0" borderId="16" xfId="1" applyNumberFormat="1" applyFont="1" applyBorder="1" applyAlignment="1">
      <alignment horizontal="center" vertical="center"/>
    </xf>
    <xf numFmtId="164" fontId="12" fillId="0" borderId="5" xfId="1" applyNumberFormat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0" xfId="1" applyFont="1" applyBorder="1"/>
    <xf numFmtId="0" fontId="12" fillId="0" borderId="0" xfId="1" applyFont="1" applyBorder="1" applyAlignment="1">
      <alignment horizontal="center"/>
    </xf>
    <xf numFmtId="0" fontId="12" fillId="0" borderId="0" xfId="1" applyFont="1" applyAlignment="1">
      <alignment horizontal="center"/>
    </xf>
    <xf numFmtId="164" fontId="12" fillId="0" borderId="20" xfId="1" applyNumberFormat="1" applyFont="1" applyBorder="1" applyAlignment="1">
      <alignment horizontal="center" vertical="center"/>
    </xf>
    <xf numFmtId="164" fontId="12" fillId="0" borderId="23" xfId="1" applyNumberFormat="1" applyFont="1" applyBorder="1" applyAlignment="1">
      <alignment horizontal="center" vertical="center"/>
    </xf>
    <xf numFmtId="164" fontId="12" fillId="0" borderId="21" xfId="1" applyNumberFormat="1" applyFont="1" applyBorder="1" applyAlignment="1">
      <alignment horizontal="center" vertical="center"/>
    </xf>
    <xf numFmtId="0" fontId="12" fillId="0" borderId="0" xfId="1" applyFont="1"/>
    <xf numFmtId="164" fontId="12" fillId="3" borderId="28" xfId="1" applyNumberFormat="1" applyFont="1" applyFill="1" applyBorder="1" applyAlignment="1">
      <alignment horizontal="center" vertical="center"/>
    </xf>
    <xf numFmtId="164" fontId="12" fillId="3" borderId="31" xfId="1" applyNumberFormat="1" applyFont="1" applyFill="1" applyBorder="1" applyAlignment="1">
      <alignment horizontal="center" vertical="center"/>
    </xf>
    <xf numFmtId="164" fontId="12" fillId="0" borderId="31" xfId="1" applyNumberFormat="1" applyFont="1" applyBorder="1" applyAlignment="1">
      <alignment horizontal="center" vertical="center"/>
    </xf>
    <xf numFmtId="164" fontId="12" fillId="3" borderId="29" xfId="1" applyNumberFormat="1" applyFont="1" applyFill="1" applyBorder="1" applyAlignment="1">
      <alignment horizontal="center" vertical="center"/>
    </xf>
    <xf numFmtId="2" fontId="17" fillId="2" borderId="41" xfId="1" applyNumberFormat="1" applyFont="1" applyFill="1" applyBorder="1" applyAlignment="1">
      <alignment horizontal="center" vertical="center"/>
    </xf>
    <xf numFmtId="0" fontId="17" fillId="0" borderId="41" xfId="1" applyFont="1" applyFill="1" applyBorder="1" applyAlignment="1">
      <alignment horizontal="center" vertical="center"/>
    </xf>
    <xf numFmtId="164" fontId="12" fillId="0" borderId="33" xfId="1" applyNumberFormat="1" applyFont="1" applyBorder="1" applyAlignment="1">
      <alignment horizontal="center" vertical="center"/>
    </xf>
    <xf numFmtId="0" fontId="16" fillId="0" borderId="23" xfId="1" applyFont="1" applyFill="1" applyBorder="1" applyAlignment="1">
      <alignment horizontal="center" vertical="center"/>
    </xf>
    <xf numFmtId="166" fontId="13" fillId="0" borderId="35" xfId="1" applyNumberFormat="1" applyFont="1" applyFill="1" applyBorder="1" applyAlignment="1">
      <alignment horizontal="center" vertical="center"/>
    </xf>
    <xf numFmtId="165" fontId="5" fillId="0" borderId="39" xfId="1" applyNumberFormat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7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/>
    </xf>
    <xf numFmtId="0" fontId="4" fillId="0" borderId="48" xfId="1" applyFont="1" applyFill="1" applyBorder="1" applyAlignment="1">
      <alignment vertical="center"/>
    </xf>
    <xf numFmtId="0" fontId="4" fillId="0" borderId="43" xfId="1" applyFont="1" applyFill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4" fillId="0" borderId="32" xfId="1" applyFont="1" applyBorder="1" applyAlignment="1">
      <alignment vertical="center"/>
    </xf>
    <xf numFmtId="0" fontId="4" fillId="0" borderId="22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165" fontId="4" fillId="0" borderId="23" xfId="1" applyNumberFormat="1" applyFont="1" applyBorder="1" applyAlignment="1">
      <alignment horizontal="center" vertical="center"/>
    </xf>
    <xf numFmtId="0" fontId="4" fillId="0" borderId="0" xfId="1" applyFont="1"/>
    <xf numFmtId="0" fontId="1" fillId="0" borderId="42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21" fontId="13" fillId="0" borderId="23" xfId="1" applyNumberFormat="1" applyFont="1" applyBorder="1" applyAlignment="1">
      <alignment horizontal="center" vertical="center"/>
    </xf>
    <xf numFmtId="1" fontId="13" fillId="0" borderId="23" xfId="1" applyNumberFormat="1" applyFont="1" applyBorder="1" applyAlignment="1">
      <alignment horizontal="center" vertical="center"/>
    </xf>
    <xf numFmtId="166" fontId="13" fillId="4" borderId="23" xfId="1" applyNumberFormat="1" applyFont="1" applyFill="1" applyBorder="1" applyAlignment="1">
      <alignment horizontal="center" vertical="center"/>
    </xf>
    <xf numFmtId="49" fontId="13" fillId="0" borderId="23" xfId="1" applyNumberFormat="1" applyFont="1" applyBorder="1" applyAlignment="1">
      <alignment horizontal="center" vertical="center"/>
    </xf>
    <xf numFmtId="49" fontId="13" fillId="0" borderId="35" xfId="1" applyNumberFormat="1" applyFont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2" fontId="14" fillId="0" borderId="35" xfId="1" applyNumberFormat="1" applyFont="1" applyFill="1" applyBorder="1" applyAlignment="1">
      <alignment horizontal="center" vertical="center"/>
    </xf>
    <xf numFmtId="164" fontId="14" fillId="0" borderId="35" xfId="1" applyNumberFormat="1" applyFont="1" applyFill="1" applyBorder="1" applyAlignment="1">
      <alignment horizontal="center" vertical="center"/>
    </xf>
    <xf numFmtId="167" fontId="12" fillId="0" borderId="35" xfId="1" applyNumberFormat="1" applyFont="1" applyBorder="1" applyAlignment="1">
      <alignment horizontal="center" vertical="center" wrapText="1"/>
    </xf>
    <xf numFmtId="0" fontId="12" fillId="0" borderId="35" xfId="1" applyFont="1" applyBorder="1" applyAlignment="1">
      <alignment horizontal="center" vertical="center" wrapText="1"/>
    </xf>
    <xf numFmtId="0" fontId="12" fillId="0" borderId="23" xfId="1" applyFont="1" applyBorder="1" applyAlignment="1">
      <alignment vertical="center"/>
    </xf>
    <xf numFmtId="0" fontId="1" fillId="0" borderId="45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2" fontId="1" fillId="0" borderId="9" xfId="1" applyNumberFormat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164" fontId="1" fillId="0" borderId="20" xfId="1" applyNumberFormat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8" xfId="1" applyBorder="1" applyAlignment="1">
      <alignment vertical="center"/>
    </xf>
    <xf numFmtId="164" fontId="16" fillId="0" borderId="22" xfId="1" applyNumberFormat="1" applyFont="1" applyFill="1" applyBorder="1" applyAlignment="1">
      <alignment horizontal="center" vertical="center"/>
    </xf>
    <xf numFmtId="0" fontId="14" fillId="0" borderId="36" xfId="1" applyFont="1" applyFill="1" applyBorder="1" applyAlignment="1">
      <alignment horizontal="center" vertical="center"/>
    </xf>
    <xf numFmtId="0" fontId="19" fillId="0" borderId="41" xfId="1" applyFont="1" applyFill="1" applyBorder="1" applyAlignment="1">
      <alignment horizontal="center" vertical="center"/>
    </xf>
    <xf numFmtId="0" fontId="19" fillId="2" borderId="41" xfId="1" applyFont="1" applyFill="1" applyBorder="1" applyAlignment="1">
      <alignment horizontal="center" vertical="center"/>
    </xf>
    <xf numFmtId="2" fontId="17" fillId="2" borderId="50" xfId="1" applyNumberFormat="1" applyFont="1" applyFill="1" applyBorder="1" applyAlignment="1">
      <alignment horizontal="center" vertical="center"/>
    </xf>
    <xf numFmtId="164" fontId="12" fillId="0" borderId="4" xfId="1" applyNumberFormat="1" applyFont="1" applyBorder="1" applyAlignment="1">
      <alignment horizontal="center" vertical="center"/>
    </xf>
    <xf numFmtId="0" fontId="20" fillId="2" borderId="50" xfId="1" applyFont="1" applyFill="1" applyBorder="1" applyAlignment="1">
      <alignment horizontal="center" vertical="center"/>
    </xf>
    <xf numFmtId="164" fontId="1" fillId="0" borderId="13" xfId="1" applyNumberFormat="1" applyBorder="1" applyAlignment="1">
      <alignment horizontal="center" vertical="center"/>
    </xf>
    <xf numFmtId="164" fontId="13" fillId="0" borderId="35" xfId="1" applyNumberFormat="1" applyFont="1" applyFill="1" applyBorder="1" applyAlignment="1">
      <alignment horizontal="center" vertical="center"/>
    </xf>
    <xf numFmtId="2" fontId="17" fillId="0" borderId="50" xfId="1" applyNumberFormat="1" applyFont="1" applyFill="1" applyBorder="1" applyAlignment="1">
      <alignment horizontal="center" vertical="center"/>
    </xf>
    <xf numFmtId="2" fontId="14" fillId="0" borderId="13" xfId="1" applyNumberFormat="1" applyFont="1" applyFill="1" applyBorder="1" applyAlignment="1">
      <alignment horizontal="center" vertical="center"/>
    </xf>
    <xf numFmtId="166" fontId="13" fillId="5" borderId="35" xfId="1" applyNumberFormat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3" fillId="0" borderId="35" xfId="1" applyFont="1" applyBorder="1" applyAlignment="1">
      <alignment horizontal="left" vertical="center"/>
    </xf>
    <xf numFmtId="0" fontId="13" fillId="0" borderId="33" xfId="1" applyFont="1" applyBorder="1" applyAlignment="1">
      <alignment horizontal="left" vertical="center"/>
    </xf>
    <xf numFmtId="166" fontId="13" fillId="0" borderId="35" xfId="1" applyNumberFormat="1" applyFont="1" applyBorder="1" applyAlignment="1">
      <alignment horizontal="center" vertical="center"/>
    </xf>
    <xf numFmtId="166" fontId="13" fillId="0" borderId="33" xfId="1" applyNumberFormat="1" applyFont="1" applyBorder="1" applyAlignment="1">
      <alignment horizontal="center" vertical="center"/>
    </xf>
    <xf numFmtId="166" fontId="15" fillId="0" borderId="35" xfId="1" applyNumberFormat="1" applyFont="1" applyBorder="1" applyAlignment="1">
      <alignment horizontal="center" vertical="center"/>
    </xf>
    <xf numFmtId="166" fontId="15" fillId="0" borderId="33" xfId="1" applyNumberFormat="1" applyFont="1" applyBorder="1" applyAlignment="1">
      <alignment horizontal="center" vertical="center"/>
    </xf>
    <xf numFmtId="167" fontId="12" fillId="0" borderId="35" xfId="1" applyNumberFormat="1" applyFont="1" applyBorder="1" applyAlignment="1">
      <alignment horizontal="center" vertical="center" wrapText="1"/>
    </xf>
    <xf numFmtId="167" fontId="12" fillId="0" borderId="33" xfId="1" applyNumberFormat="1" applyFont="1" applyBorder="1" applyAlignment="1">
      <alignment horizontal="center" vertical="center" wrapText="1"/>
    </xf>
    <xf numFmtId="2" fontId="19" fillId="2" borderId="41" xfId="1" applyNumberFormat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/>
    </xf>
    <xf numFmtId="2" fontId="14" fillId="0" borderId="36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I16" sqref="I16"/>
    </sheetView>
  </sheetViews>
  <sheetFormatPr defaultRowHeight="15" x14ac:dyDescent="0.25"/>
  <cols>
    <col min="1" max="1" width="9.140625" style="4"/>
    <col min="2" max="2" width="17.42578125" style="4" customWidth="1"/>
    <col min="3" max="3" width="7.140625" style="4" customWidth="1"/>
    <col min="4" max="4" width="11.5703125" style="4" customWidth="1"/>
    <col min="5" max="5" width="7" style="4" customWidth="1"/>
    <col min="6" max="6" width="10.42578125" style="4" customWidth="1"/>
    <col min="7" max="7" width="17" style="4" customWidth="1"/>
    <col min="8" max="8" width="14.7109375" style="4" customWidth="1"/>
    <col min="9" max="9" width="11.140625" style="4" customWidth="1"/>
    <col min="10" max="10" width="9" style="4" customWidth="1"/>
    <col min="11" max="16384" width="9.140625" style="2"/>
  </cols>
  <sheetData>
    <row r="1" spans="1:12" ht="19.5" x14ac:dyDescent="0.3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</row>
    <row r="2" spans="1:12" ht="17.25" x14ac:dyDescent="0.3">
      <c r="A2" s="3" t="s">
        <v>114</v>
      </c>
      <c r="B2" s="3"/>
      <c r="C2" s="3"/>
      <c r="D2" s="3"/>
      <c r="E2" s="3"/>
      <c r="F2" s="3"/>
      <c r="G2" s="3"/>
      <c r="H2" s="3"/>
      <c r="I2" s="3"/>
      <c r="J2" s="3"/>
    </row>
    <row r="3" spans="1:12" ht="6" customHeight="1" thickBot="1" x14ac:dyDescent="0.3"/>
    <row r="4" spans="1:12" s="12" customFormat="1" ht="15" customHeight="1" x14ac:dyDescent="0.25">
      <c r="A4" s="5" t="s">
        <v>0</v>
      </c>
      <c r="B4" s="6" t="s">
        <v>1</v>
      </c>
      <c r="C4" s="7" t="s">
        <v>2</v>
      </c>
      <c r="D4" s="8" t="s">
        <v>3</v>
      </c>
      <c r="E4" s="9"/>
      <c r="F4" s="10" t="s">
        <v>4</v>
      </c>
      <c r="G4" s="11"/>
      <c r="H4" s="6"/>
      <c r="I4" s="8" t="s">
        <v>5</v>
      </c>
      <c r="J4" s="9"/>
    </row>
    <row r="5" spans="1:12" s="20" customFormat="1" ht="15.75" thickBot="1" x14ac:dyDescent="0.3">
      <c r="A5" s="13"/>
      <c r="B5" s="14"/>
      <c r="C5" s="15"/>
      <c r="D5" s="16" t="s">
        <v>6</v>
      </c>
      <c r="E5" s="17" t="s">
        <v>7</v>
      </c>
      <c r="F5" s="18" t="s">
        <v>8</v>
      </c>
      <c r="G5" s="19" t="s">
        <v>9</v>
      </c>
      <c r="H5" s="19" t="s">
        <v>10</v>
      </c>
      <c r="I5" s="16" t="s">
        <v>6</v>
      </c>
      <c r="J5" s="17" t="s">
        <v>11</v>
      </c>
    </row>
    <row r="6" spans="1:12" s="12" customFormat="1" ht="24.95" customHeight="1" x14ac:dyDescent="0.25">
      <c r="A6" s="21">
        <v>1</v>
      </c>
      <c r="B6" s="22" t="s">
        <v>14</v>
      </c>
      <c r="C6" s="23">
        <v>2</v>
      </c>
      <c r="D6" s="24">
        <v>40.01</v>
      </c>
      <c r="E6" s="25">
        <v>4</v>
      </c>
      <c r="F6" s="26">
        <v>174</v>
      </c>
      <c r="G6" s="27" t="s">
        <v>150</v>
      </c>
      <c r="H6" s="28" t="s">
        <v>13</v>
      </c>
      <c r="I6" s="29">
        <v>39.049999999999997</v>
      </c>
      <c r="J6" s="25">
        <v>137</v>
      </c>
    </row>
    <row r="7" spans="1:12" s="12" customFormat="1" ht="24.95" customHeight="1" x14ac:dyDescent="0.25">
      <c r="A7" s="30">
        <v>2</v>
      </c>
      <c r="B7" s="31" t="s">
        <v>12</v>
      </c>
      <c r="C7" s="32">
        <v>1</v>
      </c>
      <c r="D7" s="33">
        <v>39.634999999999998</v>
      </c>
      <c r="E7" s="34">
        <v>1</v>
      </c>
      <c r="F7" s="35">
        <v>174</v>
      </c>
      <c r="G7" s="36">
        <v>28.17</v>
      </c>
      <c r="H7" s="37">
        <v>28.17</v>
      </c>
      <c r="I7" s="38">
        <v>39.51</v>
      </c>
      <c r="J7" s="34">
        <v>40</v>
      </c>
    </row>
    <row r="8" spans="1:12" s="12" customFormat="1" ht="24.95" customHeight="1" x14ac:dyDescent="0.25">
      <c r="A8" s="30">
        <v>3</v>
      </c>
      <c r="B8" s="31" t="s">
        <v>148</v>
      </c>
      <c r="C8" s="32">
        <v>6</v>
      </c>
      <c r="D8" s="33">
        <v>39.880000000000003</v>
      </c>
      <c r="E8" s="34">
        <v>3</v>
      </c>
      <c r="F8" s="35">
        <v>174</v>
      </c>
      <c r="G8" s="36">
        <v>35.93</v>
      </c>
      <c r="H8" s="37">
        <f>G8-G7</f>
        <v>7.759999999999998</v>
      </c>
      <c r="I8" s="39">
        <v>39.51</v>
      </c>
      <c r="J8" s="34">
        <v>140</v>
      </c>
    </row>
    <row r="9" spans="1:12" s="12" customFormat="1" ht="24.95" customHeight="1" x14ac:dyDescent="0.25">
      <c r="A9" s="30">
        <v>4</v>
      </c>
      <c r="B9" s="31" t="s">
        <v>46</v>
      </c>
      <c r="C9" s="32">
        <v>9</v>
      </c>
      <c r="D9" s="33">
        <v>39.805</v>
      </c>
      <c r="E9" s="34">
        <v>2</v>
      </c>
      <c r="F9" s="35">
        <v>173</v>
      </c>
      <c r="G9" s="40" t="s">
        <v>16</v>
      </c>
      <c r="H9" s="37">
        <v>21</v>
      </c>
      <c r="I9" s="38">
        <v>39.409999999999997</v>
      </c>
      <c r="J9" s="34">
        <v>136</v>
      </c>
      <c r="L9" s="41"/>
    </row>
    <row r="10" spans="1:12" s="12" customFormat="1" ht="24.95" customHeight="1" x14ac:dyDescent="0.25">
      <c r="A10" s="30">
        <v>5</v>
      </c>
      <c r="B10" s="31" t="s">
        <v>15</v>
      </c>
      <c r="C10" s="32">
        <v>3</v>
      </c>
      <c r="D10" s="33">
        <v>40.085000000000001</v>
      </c>
      <c r="E10" s="34">
        <v>5</v>
      </c>
      <c r="F10" s="35">
        <v>173</v>
      </c>
      <c r="G10" s="36" t="s">
        <v>16</v>
      </c>
      <c r="H10" s="37">
        <v>20</v>
      </c>
      <c r="I10" s="38">
        <v>39.31</v>
      </c>
      <c r="J10" s="34">
        <v>155</v>
      </c>
    </row>
    <row r="11" spans="1:12" s="12" customFormat="1" ht="24.95" customHeight="1" x14ac:dyDescent="0.25">
      <c r="A11" s="30">
        <v>6</v>
      </c>
      <c r="B11" s="31" t="s">
        <v>42</v>
      </c>
      <c r="C11" s="32">
        <v>7</v>
      </c>
      <c r="D11" s="33">
        <v>40.534999999999997</v>
      </c>
      <c r="E11" s="34">
        <v>6</v>
      </c>
      <c r="F11" s="42">
        <v>172</v>
      </c>
      <c r="G11" s="43" t="s">
        <v>151</v>
      </c>
      <c r="H11" s="37">
        <v>28</v>
      </c>
      <c r="I11" s="38">
        <v>39.68</v>
      </c>
      <c r="J11" s="34">
        <v>75</v>
      </c>
    </row>
    <row r="12" spans="1:12" s="12" customFormat="1" ht="24.95" customHeight="1" x14ac:dyDescent="0.25">
      <c r="A12" s="30">
        <v>7</v>
      </c>
      <c r="B12" s="221" t="s">
        <v>110</v>
      </c>
      <c r="C12" s="220">
        <v>11</v>
      </c>
      <c r="D12" s="218">
        <v>40.58</v>
      </c>
      <c r="E12" s="219">
        <v>7</v>
      </c>
      <c r="F12" s="217">
        <v>172</v>
      </c>
      <c r="G12" s="43" t="s">
        <v>151</v>
      </c>
      <c r="H12" s="45">
        <v>7</v>
      </c>
      <c r="I12" s="46">
        <v>39.520000000000003</v>
      </c>
      <c r="J12" s="34">
        <v>135</v>
      </c>
    </row>
    <row r="13" spans="1:12" s="12" customFormat="1" ht="24.95" customHeight="1" x14ac:dyDescent="0.25">
      <c r="A13" s="30">
        <v>8</v>
      </c>
      <c r="B13" s="31" t="s">
        <v>17</v>
      </c>
      <c r="C13" s="32">
        <v>10</v>
      </c>
      <c r="D13" s="44">
        <v>41.015000000000001</v>
      </c>
      <c r="E13" s="34">
        <v>8</v>
      </c>
      <c r="F13" s="42">
        <v>169</v>
      </c>
      <c r="G13" s="43" t="s">
        <v>18</v>
      </c>
      <c r="H13" s="37">
        <v>9</v>
      </c>
      <c r="I13" s="38">
        <v>39.729999999999997</v>
      </c>
      <c r="J13" s="34">
        <v>59</v>
      </c>
    </row>
    <row r="14" spans="1:12" s="12" customFormat="1" ht="24.95" customHeight="1" x14ac:dyDescent="0.25">
      <c r="A14" s="30">
        <v>9</v>
      </c>
      <c r="B14" s="47" t="s">
        <v>149</v>
      </c>
      <c r="C14" s="32">
        <v>8</v>
      </c>
      <c r="D14" s="33">
        <v>41.094999999999999</v>
      </c>
      <c r="E14" s="34">
        <v>10</v>
      </c>
      <c r="F14" s="35">
        <v>168</v>
      </c>
      <c r="G14" s="40" t="s">
        <v>152</v>
      </c>
      <c r="H14" s="37">
        <v>21</v>
      </c>
      <c r="I14" s="38">
        <v>40.58</v>
      </c>
      <c r="J14" s="34">
        <v>70</v>
      </c>
    </row>
    <row r="15" spans="1:12" ht="24" customHeight="1" x14ac:dyDescent="0.25">
      <c r="A15" s="214">
        <v>10</v>
      </c>
      <c r="B15" s="47" t="s">
        <v>109</v>
      </c>
      <c r="C15" s="32">
        <v>5</v>
      </c>
      <c r="D15" s="33">
        <v>41.204999999999998</v>
      </c>
      <c r="E15" s="34">
        <v>11</v>
      </c>
      <c r="F15" s="35">
        <v>166</v>
      </c>
      <c r="G15" s="215" t="s">
        <v>153</v>
      </c>
      <c r="H15" s="216">
        <v>37</v>
      </c>
      <c r="I15" s="16">
        <v>40.49</v>
      </c>
      <c r="J15" s="17">
        <v>131</v>
      </c>
    </row>
    <row r="16" spans="1:12" ht="23.25" customHeight="1" thickBot="1" x14ac:dyDescent="0.3">
      <c r="A16" s="48">
        <v>11</v>
      </c>
      <c r="B16" s="49" t="s">
        <v>115</v>
      </c>
      <c r="C16" s="50">
        <v>4</v>
      </c>
      <c r="D16" s="51">
        <v>41.045000000000002</v>
      </c>
      <c r="E16" s="52">
        <v>9</v>
      </c>
      <c r="F16" s="53">
        <v>162</v>
      </c>
      <c r="G16" s="54" t="s">
        <v>170</v>
      </c>
      <c r="H16" s="55">
        <v>27</v>
      </c>
      <c r="I16" s="51">
        <v>40.28</v>
      </c>
      <c r="J16" s="52">
        <v>143</v>
      </c>
    </row>
    <row r="17" spans="1:1" ht="5.25" customHeight="1" x14ac:dyDescent="0.25">
      <c r="A17" s="56"/>
    </row>
    <row r="18" spans="1:1" s="4" customFormat="1" x14ac:dyDescent="0.25">
      <c r="A18" s="56"/>
    </row>
    <row r="19" spans="1:1" s="4" customFormat="1" x14ac:dyDescent="0.25">
      <c r="A19" s="56"/>
    </row>
    <row r="20" spans="1:1" s="4" customFormat="1" x14ac:dyDescent="0.25">
      <c r="A20" s="56"/>
    </row>
    <row r="21" spans="1:1" s="4" customFormat="1" ht="6.75" customHeight="1" x14ac:dyDescent="0.25">
      <c r="A21" s="56"/>
    </row>
    <row r="22" spans="1:1" s="4" customFormat="1" x14ac:dyDescent="0.25">
      <c r="A22" s="56"/>
    </row>
    <row r="23" spans="1:1" s="4" customFormat="1" x14ac:dyDescent="0.25">
      <c r="A23" s="57"/>
    </row>
    <row r="24" spans="1:1" s="4" customFormat="1" x14ac:dyDescent="0.25">
      <c r="A24" s="57"/>
    </row>
    <row r="25" spans="1:1" s="4" customFormat="1" ht="6.75" customHeight="1" x14ac:dyDescent="0.25">
      <c r="A25" s="57"/>
    </row>
    <row r="26" spans="1:1" s="4" customFormat="1" x14ac:dyDescent="0.25">
      <c r="A26" s="57"/>
    </row>
    <row r="27" spans="1:1" s="4" customFormat="1" x14ac:dyDescent="0.25">
      <c r="A27" s="57"/>
    </row>
    <row r="28" spans="1:1" s="4" customFormat="1" x14ac:dyDescent="0.25">
      <c r="A28" s="57"/>
    </row>
    <row r="29" spans="1:1" s="4" customFormat="1" x14ac:dyDescent="0.25">
      <c r="A29" s="57"/>
    </row>
    <row r="30" spans="1:1" s="4" customFormat="1" ht="7.5" customHeight="1" x14ac:dyDescent="0.25">
      <c r="A30" s="56"/>
    </row>
    <row r="31" spans="1:1" s="4" customFormat="1" x14ac:dyDescent="0.25">
      <c r="A31" s="56"/>
    </row>
    <row r="32" spans="1:1" s="4" customFormat="1" x14ac:dyDescent="0.25">
      <c r="A32" s="56"/>
    </row>
    <row r="33" spans="1:1" s="4" customFormat="1" x14ac:dyDescent="0.25">
      <c r="A33" s="56"/>
    </row>
    <row r="34" spans="1:1" s="4" customFormat="1" ht="6.75" customHeight="1" x14ac:dyDescent="0.25"/>
    <row r="35" spans="1:1" s="4" customFormat="1" x14ac:dyDescent="0.25">
      <c r="A35" s="56"/>
    </row>
    <row r="36" spans="1:1" s="4" customFormat="1" x14ac:dyDescent="0.25">
      <c r="A36" s="56"/>
    </row>
  </sheetData>
  <mergeCells count="8">
    <mergeCell ref="A1:J1"/>
    <mergeCell ref="A2:J2"/>
    <mergeCell ref="A4:A5"/>
    <mergeCell ref="B4:B5"/>
    <mergeCell ref="C4:C5"/>
    <mergeCell ref="D4:E4"/>
    <mergeCell ref="F4:H4"/>
    <mergeCell ref="I4:J4"/>
  </mergeCells>
  <pageMargins left="0.70866141732283472" right="0.70866141732283472" top="0.74803149606299213" bottom="0.74803149606299213" header="0.31496062992125984" footer="0.31496062992125984"/>
  <pageSetup paperSize="9" scale="110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22"/>
  <sheetViews>
    <sheetView zoomScale="75" zoomScaleNormal="75" workbookViewId="0">
      <selection activeCell="N11" sqref="N11"/>
    </sheetView>
  </sheetViews>
  <sheetFormatPr defaultRowHeight="15" x14ac:dyDescent="0.25"/>
  <cols>
    <col min="1" max="1" width="8.7109375" style="2" customWidth="1"/>
    <col min="2" max="2" width="30.7109375" style="2" customWidth="1"/>
    <col min="3" max="3" width="9.42578125" style="2" customWidth="1"/>
    <col min="4" max="6" width="9.42578125" style="4" customWidth="1"/>
    <col min="7" max="7" width="11.28515625" style="4" customWidth="1"/>
    <col min="8" max="8" width="12.85546875" style="4" customWidth="1"/>
    <col min="9" max="9" width="13.5703125" style="4" customWidth="1"/>
    <col min="10" max="10" width="13" style="4" customWidth="1"/>
    <col min="11" max="11" width="12" style="4" customWidth="1"/>
    <col min="12" max="12" width="15.85546875" style="4" customWidth="1"/>
    <col min="13" max="13" width="11.42578125" style="2" customWidth="1"/>
    <col min="14" max="14" width="22.28515625" style="2" customWidth="1"/>
    <col min="15" max="16384" width="9.140625" style="2"/>
  </cols>
  <sheetData>
    <row r="4" spans="1:16" ht="18.75" x14ac:dyDescent="0.3">
      <c r="A4" s="109" t="s">
        <v>80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6" ht="7.5" customHeight="1" x14ac:dyDescent="0.25"/>
    <row r="6" spans="1:16" ht="17.25" x14ac:dyDescent="0.3">
      <c r="A6" s="3" t="s">
        <v>111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6" ht="7.5" customHeight="1" x14ac:dyDescent="0.25"/>
    <row r="8" spans="1:16" s="4" customFormat="1" ht="20.25" customHeight="1" x14ac:dyDescent="0.25">
      <c r="A8" s="110" t="s">
        <v>62</v>
      </c>
      <c r="B8" s="111" t="s">
        <v>57</v>
      </c>
      <c r="C8" s="112" t="s">
        <v>52</v>
      </c>
      <c r="D8" s="111" t="s">
        <v>63</v>
      </c>
      <c r="E8" s="113" t="s">
        <v>64</v>
      </c>
      <c r="F8" s="114" t="s">
        <v>65</v>
      </c>
      <c r="G8" s="115"/>
      <c r="H8" s="115"/>
      <c r="I8" s="116"/>
      <c r="J8" s="117" t="s">
        <v>66</v>
      </c>
      <c r="K8" s="110" t="s">
        <v>67</v>
      </c>
      <c r="L8" s="110"/>
      <c r="M8" s="118"/>
      <c r="N8" s="118"/>
    </row>
    <row r="9" spans="1:16" s="4" customFormat="1" ht="27.75" customHeight="1" x14ac:dyDescent="0.25">
      <c r="A9" s="110"/>
      <c r="B9" s="111"/>
      <c r="C9" s="119"/>
      <c r="D9" s="111"/>
      <c r="E9" s="120"/>
      <c r="F9" s="121" t="s">
        <v>68</v>
      </c>
      <c r="G9" s="121" t="s">
        <v>69</v>
      </c>
      <c r="H9" s="121" t="s">
        <v>70</v>
      </c>
      <c r="I9" s="122" t="s">
        <v>71</v>
      </c>
      <c r="J9" s="123"/>
      <c r="K9" s="124" t="s">
        <v>72</v>
      </c>
      <c r="L9" s="124" t="s">
        <v>73</v>
      </c>
      <c r="M9" s="125" t="s">
        <v>74</v>
      </c>
      <c r="N9" s="125" t="s">
        <v>75</v>
      </c>
    </row>
    <row r="10" spans="1:16" s="12" customFormat="1" ht="30" customHeight="1" thickBot="1" x14ac:dyDescent="0.3">
      <c r="A10" s="126">
        <v>1</v>
      </c>
      <c r="B10" s="127" t="s">
        <v>117</v>
      </c>
      <c r="C10" s="128">
        <v>13</v>
      </c>
      <c r="D10" s="128">
        <v>25</v>
      </c>
      <c r="E10" s="129">
        <f>D10</f>
        <v>25</v>
      </c>
      <c r="F10" s="148">
        <v>41.43</v>
      </c>
      <c r="G10" s="131">
        <f>(43.12+42.94+42.61+41.84+41.83+41.62+41.52+42.11+43.45+42.23+43.9+42.04+41.91+41.5+41.74+41.66+43.05+41.43+41.56+42.67+41.51+42.97+43.81+41.54)/24</f>
        <v>42.273333333333333</v>
      </c>
      <c r="H10" s="130">
        <v>3</v>
      </c>
      <c r="I10" s="132">
        <f>G10-F10</f>
        <v>0.84333333333333371</v>
      </c>
      <c r="J10" s="133">
        <v>1.3368055555555557E-2</v>
      </c>
      <c r="K10" s="133">
        <f>J10</f>
        <v>1.3368055555555557E-2</v>
      </c>
      <c r="L10" s="134">
        <f>K10</f>
        <v>1.3368055555555557E-2</v>
      </c>
      <c r="M10" s="135" t="s">
        <v>143</v>
      </c>
      <c r="N10" s="136">
        <v>5</v>
      </c>
      <c r="O10" s="201" t="s">
        <v>181</v>
      </c>
      <c r="P10" s="202"/>
    </row>
    <row r="11" spans="1:16" s="12" customFormat="1" ht="30" customHeight="1" thickBot="1" x14ac:dyDescent="0.3">
      <c r="A11" s="126">
        <v>2</v>
      </c>
      <c r="B11" s="127" t="s">
        <v>30</v>
      </c>
      <c r="C11" s="128">
        <v>7</v>
      </c>
      <c r="D11" s="128">
        <v>77</v>
      </c>
      <c r="E11" s="129">
        <f>D11-D10</f>
        <v>52</v>
      </c>
      <c r="F11" s="225">
        <v>39.729999999999997</v>
      </c>
      <c r="G11" s="222">
        <f>(41.94+41.58+40.66+40.93+42.53+42.45+40.87+40.21+40.22+40.48+40.73+40.51+41.11+40.32+41.12+40.63+40.22+40.15+40.9+41.89+41.67+40.49+40.22+40.34+39.91+40.07+40.1+40.31+40.34+40.48+40.49+40.14+39.84+39.73+40.31+42.07+40.13+40.6+40.24+39.92+40.2+39.88+39.99+40.33+40.76+39.86+40.68+40.39+40.57+39.86+40.08)/51</f>
        <v>40.57745098039215</v>
      </c>
      <c r="H11" s="130">
        <v>0</v>
      </c>
      <c r="I11" s="132">
        <f>G11-F11</f>
        <v>0.8474509803921535</v>
      </c>
      <c r="J11" s="133">
        <v>3.8831018518518515E-2</v>
      </c>
      <c r="K11" s="133">
        <f>J11-J10</f>
        <v>2.5462962962962958E-2</v>
      </c>
      <c r="L11" s="133">
        <f>K11</f>
        <v>2.5462962962962958E-2</v>
      </c>
      <c r="M11" s="135" t="s">
        <v>182</v>
      </c>
      <c r="N11" s="136"/>
      <c r="O11" s="201"/>
      <c r="P11" s="202"/>
    </row>
    <row r="12" spans="1:16" s="12" customFormat="1" ht="30" customHeight="1" thickBot="1" x14ac:dyDescent="0.3">
      <c r="A12" s="126">
        <v>3</v>
      </c>
      <c r="B12" s="127" t="s">
        <v>117</v>
      </c>
      <c r="C12" s="128">
        <v>10</v>
      </c>
      <c r="D12" s="128">
        <v>124</v>
      </c>
      <c r="E12" s="129">
        <f>D12-D11</f>
        <v>47</v>
      </c>
      <c r="F12" s="170">
        <v>41.27</v>
      </c>
      <c r="G12" s="142">
        <f>(43.19+41.42+41.82+41.72+41.4+42.03+42.03+42.61+41.47+41.77+41.66+41.44+42.3+42.53+41.63+41.89+41.97+41.98+42.31+41.84+42.56+42.11+41.54+43.35+42.22+43+41.27+43.54+41.36+41.95+41.52+42.32+41.6+43.69+41.36+41.85+41.66+41.65+42.26+41.57+41.77+41.32+41.84+43.03+41.75+42.39)/46</f>
        <v>42.032391304347819</v>
      </c>
      <c r="H12" s="130">
        <v>0</v>
      </c>
      <c r="I12" s="132">
        <f>G12-F12</f>
        <v>0.76239130434781543</v>
      </c>
      <c r="J12" s="133">
        <v>6.3078703703703706E-2</v>
      </c>
      <c r="K12" s="133">
        <f>J12-J11</f>
        <v>2.4247685185185192E-2</v>
      </c>
      <c r="L12" s="134">
        <f>K12+K10</f>
        <v>3.7615740740740748E-2</v>
      </c>
      <c r="M12" s="135" t="s">
        <v>183</v>
      </c>
      <c r="N12" s="136">
        <v>5</v>
      </c>
      <c r="O12" s="41" t="s">
        <v>160</v>
      </c>
    </row>
    <row r="13" spans="1:16" s="12" customFormat="1" ht="30" customHeight="1" thickBot="1" x14ac:dyDescent="0.3">
      <c r="A13" s="143" t="s">
        <v>77</v>
      </c>
      <c r="B13" s="144" t="s">
        <v>30</v>
      </c>
      <c r="C13" s="145">
        <v>8</v>
      </c>
      <c r="D13" s="145">
        <v>169</v>
      </c>
      <c r="E13" s="129">
        <f>D13-D12</f>
        <v>45</v>
      </c>
      <c r="F13" s="247">
        <v>40.130000000000003</v>
      </c>
      <c r="G13" s="210">
        <f>(43.31+41+40.9+40.17+41.44+40.51+40.26+40.42+40.29+40.26+40.39+40.77+40.44+40.63+40.24+41.21+41.34+42.99+41.58+41.71+40.87+41.75+40.59+40.37+40.47+40.23+40.36+40.37+40.55+40.23+40.63+40.13+40.94+40.66+40.95+40.53+40.95+40.42+40.62+40.63+40.53+41.63+40.87+40.59+40.34)/45</f>
        <v>40.801555555555559</v>
      </c>
      <c r="H13" s="148">
        <v>3</v>
      </c>
      <c r="I13" s="149">
        <f>G13-F13</f>
        <v>0.67155555555555679</v>
      </c>
      <c r="J13" s="150">
        <v>8.413194444444444E-2</v>
      </c>
      <c r="K13" s="173">
        <f>J13-J12</f>
        <v>2.1053240740740733E-2</v>
      </c>
      <c r="L13" s="150">
        <f>K13+K11</f>
        <v>4.6516203703703692E-2</v>
      </c>
      <c r="M13" s="135"/>
      <c r="N13" s="136"/>
    </row>
    <row r="14" spans="1:16" s="12" customFormat="1" ht="30" customHeight="1" x14ac:dyDescent="0.25">
      <c r="A14" s="151"/>
      <c r="B14" s="152"/>
      <c r="C14" s="153"/>
      <c r="D14" s="153"/>
      <c r="E14" s="153"/>
      <c r="F14" s="227">
        <f>AVERAGE(F10,F12)</f>
        <v>41.35</v>
      </c>
      <c r="G14" s="155">
        <f>AVERAGE(G10,G12)</f>
        <v>42.152862318840576</v>
      </c>
      <c r="H14" s="155" t="s">
        <v>122</v>
      </c>
      <c r="I14" s="156">
        <f>AVERAGE(I10,I12)</f>
        <v>0.80286231884057457</v>
      </c>
      <c r="J14" s="153"/>
      <c r="K14" s="153"/>
      <c r="L14" s="153"/>
      <c r="M14" s="157"/>
      <c r="N14" s="157"/>
    </row>
    <row r="15" spans="1:16" ht="27.75" customHeight="1" x14ac:dyDescent="0.25">
      <c r="A15" s="158"/>
      <c r="B15" s="158"/>
      <c r="C15" s="158"/>
      <c r="D15" s="159"/>
      <c r="E15" s="160"/>
      <c r="F15" s="161">
        <f>AVERAGE(F11,F13)</f>
        <v>39.93</v>
      </c>
      <c r="G15" s="162">
        <f>AVERAGE(G11,G13)</f>
        <v>40.689503267973855</v>
      </c>
      <c r="H15" s="162" t="s">
        <v>123</v>
      </c>
      <c r="I15" s="163">
        <f>AVERAGE(I11,I13)</f>
        <v>0.75950326797385515</v>
      </c>
      <c r="J15" s="160"/>
      <c r="K15" s="160" t="s">
        <v>38</v>
      </c>
      <c r="L15" s="160"/>
      <c r="M15" s="157"/>
      <c r="N15" s="157"/>
    </row>
    <row r="16" spans="1:16" ht="30" customHeight="1" thickBot="1" x14ac:dyDescent="0.3">
      <c r="A16" s="164"/>
      <c r="B16" s="164"/>
      <c r="C16" s="164"/>
      <c r="D16" s="160"/>
      <c r="E16" s="160"/>
      <c r="F16" s="165">
        <f>AVERAGE(F10:F13)</f>
        <v>40.64</v>
      </c>
      <c r="G16" s="166">
        <f>AVERAGE(G10:G13)</f>
        <v>41.421182793407212</v>
      </c>
      <c r="H16" s="167"/>
      <c r="I16" s="168">
        <f>AVERAGE(I10:I13)</f>
        <v>0.78118279340721486</v>
      </c>
      <c r="J16" s="160"/>
      <c r="K16" s="160"/>
      <c r="L16" s="160"/>
      <c r="M16" s="164"/>
      <c r="N16" s="164"/>
    </row>
    <row r="19" spans="13:14" x14ac:dyDescent="0.25">
      <c r="M19" s="4"/>
      <c r="N19" s="4"/>
    </row>
    <row r="20" spans="13:14" x14ac:dyDescent="0.25">
      <c r="M20" s="12"/>
      <c r="N20" s="12"/>
    </row>
    <row r="21" spans="13:14" x14ac:dyDescent="0.25">
      <c r="M21" s="12"/>
      <c r="N21" s="12"/>
    </row>
    <row r="22" spans="13:14" x14ac:dyDescent="0.25">
      <c r="M22" s="12"/>
      <c r="N22" s="1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22"/>
  <sheetViews>
    <sheetView zoomScale="75" zoomScaleNormal="75" workbookViewId="0">
      <selection activeCell="O14" sqref="O14"/>
    </sheetView>
  </sheetViews>
  <sheetFormatPr defaultRowHeight="15" x14ac:dyDescent="0.25"/>
  <cols>
    <col min="1" max="1" width="8.7109375" style="2" customWidth="1"/>
    <col min="2" max="2" width="30.7109375" style="2" customWidth="1"/>
    <col min="3" max="3" width="9.42578125" style="2" customWidth="1"/>
    <col min="4" max="6" width="9.42578125" style="4" customWidth="1"/>
    <col min="7" max="7" width="11.28515625" style="4" customWidth="1"/>
    <col min="8" max="8" width="12.85546875" style="4" customWidth="1"/>
    <col min="9" max="9" width="13.5703125" style="4" customWidth="1"/>
    <col min="10" max="10" width="13" style="4" customWidth="1"/>
    <col min="11" max="11" width="12" style="4" customWidth="1"/>
    <col min="12" max="12" width="15.85546875" style="4" customWidth="1"/>
    <col min="13" max="13" width="11.42578125" style="2" customWidth="1"/>
    <col min="14" max="14" width="22.28515625" style="2" customWidth="1"/>
    <col min="15" max="16384" width="9.140625" style="2"/>
  </cols>
  <sheetData>
    <row r="4" spans="1:16" ht="18.75" x14ac:dyDescent="0.3">
      <c r="A4" s="109" t="s">
        <v>80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6" ht="7.5" customHeight="1" x14ac:dyDescent="0.25"/>
    <row r="6" spans="1:16" ht="17.25" x14ac:dyDescent="0.3">
      <c r="A6" s="3" t="s">
        <v>84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6" ht="7.5" customHeight="1" x14ac:dyDescent="0.25"/>
    <row r="8" spans="1:16" s="4" customFormat="1" ht="20.25" customHeight="1" x14ac:dyDescent="0.25">
      <c r="A8" s="110" t="s">
        <v>62</v>
      </c>
      <c r="B8" s="111" t="s">
        <v>57</v>
      </c>
      <c r="C8" s="112" t="s">
        <v>52</v>
      </c>
      <c r="D8" s="111" t="s">
        <v>63</v>
      </c>
      <c r="E8" s="113" t="s">
        <v>64</v>
      </c>
      <c r="F8" s="114" t="s">
        <v>65</v>
      </c>
      <c r="G8" s="115"/>
      <c r="H8" s="115"/>
      <c r="I8" s="116"/>
      <c r="J8" s="117" t="s">
        <v>66</v>
      </c>
      <c r="K8" s="110" t="s">
        <v>67</v>
      </c>
      <c r="L8" s="110"/>
      <c r="M8" s="118"/>
      <c r="N8" s="118"/>
    </row>
    <row r="9" spans="1:16" s="4" customFormat="1" ht="27.75" customHeight="1" thickBot="1" x14ac:dyDescent="0.3">
      <c r="A9" s="110"/>
      <c r="B9" s="111"/>
      <c r="C9" s="119"/>
      <c r="D9" s="111"/>
      <c r="E9" s="120"/>
      <c r="F9" s="121" t="s">
        <v>68</v>
      </c>
      <c r="G9" s="121" t="s">
        <v>69</v>
      </c>
      <c r="H9" s="121" t="s">
        <v>70</v>
      </c>
      <c r="I9" s="122" t="s">
        <v>71</v>
      </c>
      <c r="J9" s="123"/>
      <c r="K9" s="124" t="s">
        <v>72</v>
      </c>
      <c r="L9" s="124" t="s">
        <v>73</v>
      </c>
      <c r="M9" s="125" t="s">
        <v>74</v>
      </c>
      <c r="N9" s="125" t="s">
        <v>75</v>
      </c>
    </row>
    <row r="10" spans="1:16" s="12" customFormat="1" ht="30" customHeight="1" thickBot="1" x14ac:dyDescent="0.3">
      <c r="A10" s="126">
        <v>1</v>
      </c>
      <c r="B10" s="127" t="s">
        <v>85</v>
      </c>
      <c r="C10" s="128">
        <v>9</v>
      </c>
      <c r="D10" s="128">
        <v>30</v>
      </c>
      <c r="E10" s="129">
        <f>D10</f>
        <v>30</v>
      </c>
      <c r="F10" s="170">
        <v>40.65</v>
      </c>
      <c r="G10" s="142">
        <f>(42.92+44.59+45.32+42.66+50.05+41.95+41.46+41.12+43.39+40.7+40.75+41.44+43.28+42.54+42.28+43.36+40.88+41.17+41.99+40.65+41.22+40.85+41.12+40.86+41+41.56+41.6+41.36+41.25)/29</f>
        <v>42.183448275862048</v>
      </c>
      <c r="H10" s="130">
        <v>2</v>
      </c>
      <c r="I10" s="132">
        <f>G10-F10</f>
        <v>1.5334482758620496</v>
      </c>
      <c r="J10" s="133">
        <v>1.5092592592592593E-2</v>
      </c>
      <c r="K10" s="133">
        <f>J10</f>
        <v>1.5092592592592593E-2</v>
      </c>
      <c r="L10" s="134">
        <f>K10</f>
        <v>1.5092592592592593E-2</v>
      </c>
      <c r="M10" s="135" t="s">
        <v>145</v>
      </c>
      <c r="N10" s="136">
        <v>-64</v>
      </c>
      <c r="O10" s="201" t="s">
        <v>76</v>
      </c>
      <c r="P10" s="202"/>
    </row>
    <row r="11" spans="1:16" s="12" customFormat="1" ht="30" customHeight="1" thickBot="1" x14ac:dyDescent="0.3">
      <c r="A11" s="126">
        <v>2</v>
      </c>
      <c r="B11" s="127" t="s">
        <v>86</v>
      </c>
      <c r="C11" s="128">
        <v>13</v>
      </c>
      <c r="D11" s="128">
        <v>89</v>
      </c>
      <c r="E11" s="129">
        <f>D11-D10</f>
        <v>59</v>
      </c>
      <c r="F11" s="225">
        <v>40.58</v>
      </c>
      <c r="G11" s="222">
        <f>(42.57+41.77+42.29+41.62+42.17+41.25+41.18+41.95+41.63+41.13+41.31+41.61+42.25+42.16+42.15+43.1+43+41.89+42.07+41.59+41.56+41.65+41.55+41.6+41.95+42+41.47+41.85+41.73+42.44+40.73+41.89+41.59+42.02+41.66+42.54+40.93+41.18+41.42+40.58+40.77+41.24+41.08+41.09+42.86+41.8+42.91+41.72+41.85+41.3+41.01+41.12+41.9+41.52+41.16+41.28+40.83+41.45)/58</f>
        <v>41.68827586206897</v>
      </c>
      <c r="H11" s="130">
        <v>0</v>
      </c>
      <c r="I11" s="132">
        <f>G11-F11</f>
        <v>1.1082758620689717</v>
      </c>
      <c r="J11" s="133">
        <v>4.4594907407407409E-2</v>
      </c>
      <c r="K11" s="133">
        <f>J11-J10</f>
        <v>2.9502314814814815E-2</v>
      </c>
      <c r="L11" s="133">
        <f>K11</f>
        <v>2.9502314814814815E-2</v>
      </c>
      <c r="M11" s="135" t="s">
        <v>178</v>
      </c>
      <c r="N11" s="136">
        <v>5</v>
      </c>
      <c r="O11" s="201" t="s">
        <v>160</v>
      </c>
      <c r="P11" s="202"/>
    </row>
    <row r="12" spans="1:16" s="12" customFormat="1" ht="30" customHeight="1" x14ac:dyDescent="0.25">
      <c r="A12" s="126">
        <v>3</v>
      </c>
      <c r="B12" s="127" t="s">
        <v>85</v>
      </c>
      <c r="C12" s="128">
        <v>2</v>
      </c>
      <c r="D12" s="128">
        <v>142</v>
      </c>
      <c r="E12" s="129">
        <f>D12-D11</f>
        <v>53</v>
      </c>
      <c r="F12" s="246">
        <v>40.659999999999997</v>
      </c>
      <c r="G12" s="131">
        <f>(43.26+40.92+41.2+41.34+41.24+41.05+41.17+41.12+41.6+40.87+41.12+41.23+41.34+40.67+41.74+41.1+43.88+41.82+41.65+43.38+41.95+41.39+41.15+41.99+42.38+40.79+40.66+41.35+42.43+41.16+41.53+41.03+41.36+42.06+41.06+41.42+41.53+42.26+41.47+40.88+40.71+41.27+42.01+40.87+40.84+40.74+40.84+41.76+41.33+42.78+41.77+41.69)/52</f>
        <v>41.503076923076918</v>
      </c>
      <c r="H12" s="130">
        <v>4</v>
      </c>
      <c r="I12" s="132">
        <f>G12-F12</f>
        <v>0.8430769230769215</v>
      </c>
      <c r="J12" s="133">
        <v>7.1261574074074074E-2</v>
      </c>
      <c r="K12" s="133">
        <f>J12-J11</f>
        <v>2.6666666666666665E-2</v>
      </c>
      <c r="L12" s="134">
        <f>K12+K10</f>
        <v>4.175925925925926E-2</v>
      </c>
      <c r="M12" s="135" t="s">
        <v>179</v>
      </c>
      <c r="N12" s="136">
        <v>5</v>
      </c>
      <c r="O12" s="41" t="s">
        <v>160</v>
      </c>
    </row>
    <row r="13" spans="1:16" s="12" customFormat="1" ht="30" customHeight="1" thickBot="1" x14ac:dyDescent="0.3">
      <c r="A13" s="143" t="s">
        <v>77</v>
      </c>
      <c r="B13" s="144" t="s">
        <v>86</v>
      </c>
      <c r="C13" s="145">
        <v>8</v>
      </c>
      <c r="D13" s="145">
        <v>168</v>
      </c>
      <c r="E13" s="129">
        <f>D13-D12</f>
        <v>26</v>
      </c>
      <c r="F13" s="209">
        <v>41.05</v>
      </c>
      <c r="G13" s="210">
        <f>(42.65+41.05+41.31+41.95+42.7+42.04+42.2+41.6+42.8+41.64+41.33+41.44+41.53+41.97+42.24+41.18+41.34+42.14+42.11+41.32+41.13+41.85+41.23+41.32+41.65+41.67)/26</f>
        <v>41.745769230769241</v>
      </c>
      <c r="H13" s="148">
        <v>1</v>
      </c>
      <c r="I13" s="149">
        <f>G13-F13</f>
        <v>0.69576923076924402</v>
      </c>
      <c r="J13" s="150">
        <v>8.3831018518518527E-2</v>
      </c>
      <c r="K13" s="173">
        <f>J13-J12</f>
        <v>1.2569444444444453E-2</v>
      </c>
      <c r="L13" s="150">
        <f>K13+K11</f>
        <v>4.2071759259259267E-2</v>
      </c>
      <c r="M13" s="135"/>
      <c r="N13" s="136">
        <v>5</v>
      </c>
      <c r="O13" s="12" t="s">
        <v>184</v>
      </c>
    </row>
    <row r="14" spans="1:16" s="12" customFormat="1" ht="30" customHeight="1" x14ac:dyDescent="0.25">
      <c r="A14" s="151"/>
      <c r="B14" s="152"/>
      <c r="C14" s="153"/>
      <c r="D14" s="153"/>
      <c r="E14" s="153"/>
      <c r="F14" s="227">
        <f>AVERAGE(F10,F12)</f>
        <v>40.655000000000001</v>
      </c>
      <c r="G14" s="155">
        <f>AVERAGE(G10,G12)</f>
        <v>41.843262599469483</v>
      </c>
      <c r="H14" s="155" t="s">
        <v>126</v>
      </c>
      <c r="I14" s="156">
        <f>AVERAGE(I10,I12)</f>
        <v>1.1882625994694855</v>
      </c>
      <c r="J14" s="153"/>
      <c r="K14" s="153"/>
      <c r="L14" s="153"/>
      <c r="M14" s="157"/>
      <c r="N14" s="157"/>
    </row>
    <row r="15" spans="1:16" ht="27.75" customHeight="1" x14ac:dyDescent="0.25">
      <c r="A15" s="158"/>
      <c r="B15" s="158"/>
      <c r="C15" s="158"/>
      <c r="D15" s="159"/>
      <c r="E15" s="160"/>
      <c r="F15" s="161">
        <f>AVERAGE(F11,F13)</f>
        <v>40.814999999999998</v>
      </c>
      <c r="G15" s="162">
        <f>AVERAGE(G11,G13)</f>
        <v>41.717022546419102</v>
      </c>
      <c r="H15" s="162" t="s">
        <v>127</v>
      </c>
      <c r="I15" s="163">
        <f>AVERAGE(I11,I13)</f>
        <v>0.90202254641910784</v>
      </c>
      <c r="J15" s="160"/>
      <c r="K15" s="160" t="s">
        <v>38</v>
      </c>
      <c r="L15" s="160"/>
      <c r="M15" s="157"/>
      <c r="N15" s="157"/>
    </row>
    <row r="16" spans="1:16" ht="30" customHeight="1" thickBot="1" x14ac:dyDescent="0.3">
      <c r="A16" s="164"/>
      <c r="B16" s="164"/>
      <c r="C16" s="164"/>
      <c r="D16" s="160"/>
      <c r="E16" s="160"/>
      <c r="F16" s="165">
        <f>AVERAGE(F10:F13)</f>
        <v>40.734999999999999</v>
      </c>
      <c r="G16" s="166">
        <f>AVERAGE(G10:G13)</f>
        <v>41.780142572944293</v>
      </c>
      <c r="H16" s="167"/>
      <c r="I16" s="168">
        <f>AVERAGE(I10:I13)</f>
        <v>1.0451425729442967</v>
      </c>
      <c r="J16" s="160"/>
      <c r="K16" s="160"/>
      <c r="L16" s="160"/>
      <c r="M16" s="164"/>
      <c r="N16" s="164"/>
    </row>
    <row r="19" spans="13:14" x14ac:dyDescent="0.25">
      <c r="M19" s="4"/>
      <c r="N19" s="4"/>
    </row>
    <row r="20" spans="13:14" x14ac:dyDescent="0.25">
      <c r="M20" s="12"/>
      <c r="N20" s="12"/>
    </row>
    <row r="21" spans="13:14" x14ac:dyDescent="0.25">
      <c r="M21" s="12"/>
      <c r="N21" s="12"/>
    </row>
    <row r="22" spans="13:14" x14ac:dyDescent="0.25">
      <c r="M22" s="12"/>
      <c r="N22" s="1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22"/>
  <sheetViews>
    <sheetView zoomScale="75" zoomScaleNormal="75" workbookViewId="0">
      <selection activeCell="H20" sqref="H20"/>
    </sheetView>
  </sheetViews>
  <sheetFormatPr defaultRowHeight="15" x14ac:dyDescent="0.25"/>
  <cols>
    <col min="1" max="1" width="8.7109375" style="2" customWidth="1"/>
    <col min="2" max="2" width="30.7109375" style="2" customWidth="1"/>
    <col min="3" max="3" width="9.42578125" style="2" customWidth="1"/>
    <col min="4" max="6" width="9.42578125" style="4" customWidth="1"/>
    <col min="7" max="7" width="11.28515625" style="4" customWidth="1"/>
    <col min="8" max="8" width="12.85546875" style="4" customWidth="1"/>
    <col min="9" max="9" width="13.5703125" style="4" customWidth="1"/>
    <col min="10" max="10" width="13" style="4" customWidth="1"/>
    <col min="11" max="11" width="12" style="4" customWidth="1"/>
    <col min="12" max="12" width="15.85546875" style="4" customWidth="1"/>
    <col min="13" max="13" width="11.42578125" style="2" customWidth="1"/>
    <col min="14" max="14" width="22.28515625" style="2" customWidth="1"/>
    <col min="15" max="16384" width="9.140625" style="2"/>
  </cols>
  <sheetData>
    <row r="4" spans="1:16" ht="18.75" x14ac:dyDescent="0.3">
      <c r="A4" s="109" t="s">
        <v>80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6" ht="7.5" customHeight="1" x14ac:dyDescent="0.25"/>
    <row r="6" spans="1:16" ht="17.25" x14ac:dyDescent="0.3">
      <c r="A6" s="3" t="s">
        <v>109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6" ht="7.5" customHeight="1" x14ac:dyDescent="0.25"/>
    <row r="8" spans="1:16" s="4" customFormat="1" ht="20.25" customHeight="1" x14ac:dyDescent="0.25">
      <c r="A8" s="110" t="s">
        <v>62</v>
      </c>
      <c r="B8" s="111" t="s">
        <v>57</v>
      </c>
      <c r="C8" s="112" t="s">
        <v>52</v>
      </c>
      <c r="D8" s="111" t="s">
        <v>63</v>
      </c>
      <c r="E8" s="113" t="s">
        <v>64</v>
      </c>
      <c r="F8" s="114" t="s">
        <v>65</v>
      </c>
      <c r="G8" s="115"/>
      <c r="H8" s="115"/>
      <c r="I8" s="116"/>
      <c r="J8" s="117" t="s">
        <v>66</v>
      </c>
      <c r="K8" s="110" t="s">
        <v>67</v>
      </c>
      <c r="L8" s="110"/>
      <c r="M8" s="118"/>
      <c r="N8" s="118"/>
    </row>
    <row r="9" spans="1:16" s="4" customFormat="1" ht="27.75" customHeight="1" x14ac:dyDescent="0.25">
      <c r="A9" s="110"/>
      <c r="B9" s="111"/>
      <c r="C9" s="119"/>
      <c r="D9" s="111"/>
      <c r="E9" s="120"/>
      <c r="F9" s="121" t="s">
        <v>68</v>
      </c>
      <c r="G9" s="121" t="s">
        <v>69</v>
      </c>
      <c r="H9" s="121" t="s">
        <v>70</v>
      </c>
      <c r="I9" s="122" t="s">
        <v>71</v>
      </c>
      <c r="J9" s="123"/>
      <c r="K9" s="124" t="s">
        <v>72</v>
      </c>
      <c r="L9" s="124" t="s">
        <v>73</v>
      </c>
      <c r="M9" s="125" t="s">
        <v>74</v>
      </c>
      <c r="N9" s="125" t="s">
        <v>75</v>
      </c>
    </row>
    <row r="10" spans="1:16" s="12" customFormat="1" ht="30" customHeight="1" x14ac:dyDescent="0.25">
      <c r="A10" s="126">
        <v>1</v>
      </c>
      <c r="B10" s="127" t="s">
        <v>104</v>
      </c>
      <c r="C10" s="128">
        <v>6</v>
      </c>
      <c r="D10" s="128">
        <v>36</v>
      </c>
      <c r="E10" s="129">
        <f>D10</f>
        <v>36</v>
      </c>
      <c r="F10" s="130">
        <v>41.33</v>
      </c>
      <c r="G10" s="131">
        <f>(44.08+43.21+44.88+42.56+43.96+42.11+41.9+43.23+42.76+41.58+43+41.45+42.74+44.12+43.25+42.8+43.21+42.38+42.82+41.41+41.5+41.38+41.62+45.56+43.21+42.72+41.75+41.33+43.21+41.49+42.02+42.18+41.86+42.32+42.8)/35</f>
        <v>42.639999999999993</v>
      </c>
      <c r="H10" s="130">
        <v>2</v>
      </c>
      <c r="I10" s="132">
        <f>G10-F10</f>
        <v>1.3099999999999952</v>
      </c>
      <c r="J10" s="133">
        <v>1.8807870370370371E-2</v>
      </c>
      <c r="K10" s="133">
        <f>J10</f>
        <v>1.8807870370370371E-2</v>
      </c>
      <c r="L10" s="134">
        <f>K10</f>
        <v>1.8807870370370371E-2</v>
      </c>
      <c r="M10" s="135" t="s">
        <v>147</v>
      </c>
      <c r="N10" s="136">
        <v>-8</v>
      </c>
      <c r="O10" s="201" t="s">
        <v>156</v>
      </c>
      <c r="P10" s="202"/>
    </row>
    <row r="11" spans="1:16" s="12" customFormat="1" ht="30" customHeight="1" thickBot="1" x14ac:dyDescent="0.3">
      <c r="A11" s="126">
        <v>2</v>
      </c>
      <c r="B11" s="127" t="s">
        <v>103</v>
      </c>
      <c r="C11" s="128">
        <v>4</v>
      </c>
      <c r="D11" s="128">
        <v>75</v>
      </c>
      <c r="E11" s="129">
        <f>D11-D10</f>
        <v>39</v>
      </c>
      <c r="F11" s="139">
        <v>40.89</v>
      </c>
      <c r="G11" s="140">
        <f>(43.01+41.66+42.38+41.26+41.43+41.64+41.48+41.61+41.34+41.57+41.96+41.51+41.28+42.15+41.94+41.36+41.77+40.93+41.16+41.71+41.06+41.42+41.15+41.37+41.24+42.11+41.75+42.15+41.38+41.09+41.26+43.18+41.96+40.89+41.03+41.09+41.48+41.51)/38</f>
        <v>41.586052631578944</v>
      </c>
      <c r="H11" s="130">
        <v>1</v>
      </c>
      <c r="I11" s="132">
        <f>G11-F11</f>
        <v>0.6960526315789437</v>
      </c>
      <c r="J11" s="133">
        <v>3.8692129629629632E-2</v>
      </c>
      <c r="K11" s="133">
        <f>J11-J10</f>
        <v>1.9884259259259261E-2</v>
      </c>
      <c r="L11" s="133">
        <f>K11</f>
        <v>1.9884259259259261E-2</v>
      </c>
      <c r="M11" s="135" t="s">
        <v>166</v>
      </c>
      <c r="N11" s="136">
        <v>5</v>
      </c>
      <c r="O11" s="201" t="s">
        <v>168</v>
      </c>
      <c r="P11" s="202"/>
    </row>
    <row r="12" spans="1:16" s="12" customFormat="1" ht="30" customHeight="1" thickBot="1" x14ac:dyDescent="0.3">
      <c r="A12" s="126">
        <v>3</v>
      </c>
      <c r="B12" s="127" t="s">
        <v>104</v>
      </c>
      <c r="C12" s="128">
        <v>8</v>
      </c>
      <c r="D12" s="128">
        <v>121</v>
      </c>
      <c r="E12" s="129">
        <f>D12-D11</f>
        <v>46</v>
      </c>
      <c r="F12" s="170">
        <v>41.05</v>
      </c>
      <c r="G12" s="142">
        <f>(42.11+42.57+43.29+41.69+42.06+41.54+41.33+41.44+41.33+42.07+42.36+41.99+41.6+41.88+41.51+41.87+43.36+41.65+41.44+41.86+41.05+41.23+42.64+42.07+41.17+41.75+41.25+41.77+44.69+41.41+41.46+44.54+42.17+41.33+42.69+41.76+41.73+42.12+41.2+41.62+41.67+41.07+42.82+42.06+41.5)/45</f>
        <v>41.949333333333328</v>
      </c>
      <c r="H12" s="130">
        <v>1</v>
      </c>
      <c r="I12" s="132">
        <f>G12-F12</f>
        <v>0.8993333333333311</v>
      </c>
      <c r="J12" s="133">
        <v>6.2210648148148147E-2</v>
      </c>
      <c r="K12" s="133">
        <f>J12-J11</f>
        <v>2.3518518518518515E-2</v>
      </c>
      <c r="L12" s="134">
        <f>K12+K10</f>
        <v>4.2326388888888886E-2</v>
      </c>
      <c r="M12" s="135" t="s">
        <v>167</v>
      </c>
      <c r="N12" s="136">
        <v>10</v>
      </c>
      <c r="O12" s="41" t="s">
        <v>165</v>
      </c>
    </row>
    <row r="13" spans="1:16" s="12" customFormat="1" ht="30" customHeight="1" thickBot="1" x14ac:dyDescent="0.3">
      <c r="A13" s="143" t="s">
        <v>77</v>
      </c>
      <c r="B13" s="144" t="s">
        <v>103</v>
      </c>
      <c r="C13" s="145">
        <v>13</v>
      </c>
      <c r="D13" s="145">
        <v>166</v>
      </c>
      <c r="E13" s="129">
        <f>D13-D12</f>
        <v>45</v>
      </c>
      <c r="F13" s="226">
        <v>40.49</v>
      </c>
      <c r="G13" s="147">
        <f>(42.29+41.29+41.11+41.55+41.78+40.95+40.88+41.68+40.84+40.49+41.59+41.89+41.06+42.2+41.27+40.93+40.86+41.23+41.35+41.03+40.65+41.11+40.94+41.52+40.87+41.38+40.73+40.83+41.27+41.38+40.53+41.33+41.53+41.93+41.34+41.69+41.97+44.13+42.27+42.19+41.51+41.34+41.34+40.73+41.48)/45</f>
        <v>41.383555555555553</v>
      </c>
      <c r="H13" s="148">
        <v>1</v>
      </c>
      <c r="I13" s="149">
        <f>G13-F13</f>
        <v>0.893555555555551</v>
      </c>
      <c r="J13" s="150">
        <v>8.3819444444444446E-2</v>
      </c>
      <c r="K13" s="173">
        <f>J13-J12</f>
        <v>2.16087962962963E-2</v>
      </c>
      <c r="L13" s="150">
        <f>K13+K11</f>
        <v>4.1493055555555561E-2</v>
      </c>
      <c r="M13" s="135"/>
      <c r="N13" s="136"/>
    </row>
    <row r="14" spans="1:16" s="12" customFormat="1" ht="30" customHeight="1" x14ac:dyDescent="0.25">
      <c r="A14" s="151"/>
      <c r="B14" s="152"/>
      <c r="C14" s="153"/>
      <c r="D14" s="153"/>
      <c r="E14" s="153"/>
      <c r="F14" s="227">
        <f>AVERAGE(F10,F12)</f>
        <v>41.19</v>
      </c>
      <c r="G14" s="155">
        <f>AVERAGE(G10,G12)</f>
        <v>42.294666666666657</v>
      </c>
      <c r="H14" s="155" t="s">
        <v>132</v>
      </c>
      <c r="I14" s="156">
        <f>AVERAGE(I10,I12)</f>
        <v>1.1046666666666631</v>
      </c>
      <c r="J14" s="153"/>
      <c r="K14" s="153"/>
      <c r="L14" s="153"/>
      <c r="M14" s="157"/>
      <c r="N14" s="157"/>
    </row>
    <row r="15" spans="1:16" ht="27.75" customHeight="1" x14ac:dyDescent="0.25">
      <c r="A15" s="158"/>
      <c r="B15" s="158"/>
      <c r="C15" s="158"/>
      <c r="D15" s="159"/>
      <c r="E15" s="160"/>
      <c r="F15" s="161">
        <f>AVERAGE(F11,F13)</f>
        <v>40.69</v>
      </c>
      <c r="G15" s="162">
        <f>AVERAGE(G11,G13)</f>
        <v>41.484804093567249</v>
      </c>
      <c r="H15" s="162" t="s">
        <v>133</v>
      </c>
      <c r="I15" s="163">
        <f>AVERAGE(I11,I13)</f>
        <v>0.79480409356724735</v>
      </c>
      <c r="J15" s="160"/>
      <c r="K15" s="160" t="s">
        <v>38</v>
      </c>
      <c r="L15" s="160"/>
      <c r="M15" s="157"/>
      <c r="N15" s="157"/>
    </row>
    <row r="16" spans="1:16" ht="30" customHeight="1" thickBot="1" x14ac:dyDescent="0.3">
      <c r="A16" s="164"/>
      <c r="B16" s="164"/>
      <c r="C16" s="164"/>
      <c r="D16" s="160"/>
      <c r="E16" s="160"/>
      <c r="F16" s="165">
        <f>AVERAGE(F10:F13)</f>
        <v>40.94</v>
      </c>
      <c r="G16" s="166">
        <f>AVERAGE(G10:G13)</f>
        <v>41.889735380116953</v>
      </c>
      <c r="H16" s="167"/>
      <c r="I16" s="168">
        <f>AVERAGE(I10:I13)</f>
        <v>0.94973538011695524</v>
      </c>
      <c r="J16" s="160"/>
      <c r="K16" s="160"/>
      <c r="L16" s="160"/>
      <c r="M16" s="164"/>
      <c r="N16" s="164"/>
    </row>
    <row r="19" spans="13:14" x14ac:dyDescent="0.25">
      <c r="M19" s="4"/>
      <c r="N19" s="4"/>
    </row>
    <row r="20" spans="13:14" x14ac:dyDescent="0.25">
      <c r="M20" s="12"/>
      <c r="N20" s="12"/>
    </row>
    <row r="21" spans="13:14" x14ac:dyDescent="0.25">
      <c r="M21" s="12"/>
      <c r="N21" s="12"/>
    </row>
    <row r="22" spans="13:14" x14ac:dyDescent="0.25">
      <c r="M22" s="12"/>
      <c r="N22" s="1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22"/>
  <sheetViews>
    <sheetView zoomScale="75" zoomScaleNormal="75" workbookViewId="0">
      <selection activeCell="L17" sqref="L17"/>
    </sheetView>
  </sheetViews>
  <sheetFormatPr defaultRowHeight="15" x14ac:dyDescent="0.25"/>
  <cols>
    <col min="1" max="1" width="8.7109375" style="2" customWidth="1"/>
    <col min="2" max="2" width="30.7109375" style="2" customWidth="1"/>
    <col min="3" max="3" width="9.42578125" style="2" customWidth="1"/>
    <col min="4" max="6" width="9.42578125" style="4" customWidth="1"/>
    <col min="7" max="7" width="11.28515625" style="4" customWidth="1"/>
    <col min="8" max="8" width="12.85546875" style="4" customWidth="1"/>
    <col min="9" max="9" width="13.5703125" style="4" customWidth="1"/>
    <col min="10" max="10" width="13" style="4" customWidth="1"/>
    <col min="11" max="11" width="12" style="4" customWidth="1"/>
    <col min="12" max="12" width="15.85546875" style="4" customWidth="1"/>
    <col min="13" max="13" width="11.42578125" style="2" customWidth="1"/>
    <col min="14" max="14" width="22.28515625" style="2" customWidth="1"/>
    <col min="15" max="16384" width="9.140625" style="2"/>
  </cols>
  <sheetData>
    <row r="4" spans="1:16" ht="18.75" x14ac:dyDescent="0.3">
      <c r="A4" s="109" t="s">
        <v>80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6" ht="7.5" customHeight="1" x14ac:dyDescent="0.25"/>
    <row r="6" spans="1:16" ht="17.25" x14ac:dyDescent="0.3">
      <c r="A6" s="3" t="s">
        <v>115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6" ht="7.5" customHeight="1" x14ac:dyDescent="0.25"/>
    <row r="8" spans="1:16" s="4" customFormat="1" ht="20.25" customHeight="1" x14ac:dyDescent="0.25">
      <c r="A8" s="110" t="s">
        <v>62</v>
      </c>
      <c r="B8" s="111" t="s">
        <v>57</v>
      </c>
      <c r="C8" s="112" t="s">
        <v>52</v>
      </c>
      <c r="D8" s="111" t="s">
        <v>63</v>
      </c>
      <c r="E8" s="113" t="s">
        <v>64</v>
      </c>
      <c r="F8" s="114" t="s">
        <v>65</v>
      </c>
      <c r="G8" s="115"/>
      <c r="H8" s="115"/>
      <c r="I8" s="116"/>
      <c r="J8" s="117" t="s">
        <v>66</v>
      </c>
      <c r="K8" s="110" t="s">
        <v>67</v>
      </c>
      <c r="L8" s="110"/>
      <c r="M8" s="118"/>
      <c r="N8" s="118"/>
    </row>
    <row r="9" spans="1:16" s="4" customFormat="1" ht="27.75" customHeight="1" x14ac:dyDescent="0.25">
      <c r="A9" s="110"/>
      <c r="B9" s="111"/>
      <c r="C9" s="119"/>
      <c r="D9" s="111"/>
      <c r="E9" s="120"/>
      <c r="F9" s="121" t="s">
        <v>68</v>
      </c>
      <c r="G9" s="121" t="s">
        <v>69</v>
      </c>
      <c r="H9" s="121" t="s">
        <v>70</v>
      </c>
      <c r="I9" s="122" t="s">
        <v>71</v>
      </c>
      <c r="J9" s="123"/>
      <c r="K9" s="124" t="s">
        <v>72</v>
      </c>
      <c r="L9" s="124" t="s">
        <v>73</v>
      </c>
      <c r="M9" s="125" t="s">
        <v>74</v>
      </c>
      <c r="N9" s="125" t="s">
        <v>75</v>
      </c>
    </row>
    <row r="10" spans="1:16" s="12" customFormat="1" ht="30" customHeight="1" x14ac:dyDescent="0.25">
      <c r="A10" s="126">
        <v>1</v>
      </c>
      <c r="B10" s="127" t="s">
        <v>82</v>
      </c>
      <c r="C10" s="128">
        <v>4</v>
      </c>
      <c r="D10" s="128">
        <v>27</v>
      </c>
      <c r="E10" s="129">
        <f>D10</f>
        <v>27</v>
      </c>
      <c r="F10" s="130">
        <v>40.72</v>
      </c>
      <c r="G10" s="131">
        <f>(43.05+43.92+53.52+42.32+41.85+42.25+41.85+41.11+42.44+41.05+41.3+41.44+42.39+42.29+40.94+42.35+42.48+42.82+42.95+41.4+41.13+41.5+41.14+41.44+41.5+40.72)/26</f>
        <v>42.351923076923079</v>
      </c>
      <c r="H10" s="130">
        <v>0</v>
      </c>
      <c r="I10" s="132">
        <f>G10-F10</f>
        <v>1.6319230769230799</v>
      </c>
      <c r="J10" s="133">
        <v>1.4374999999999999E-2</v>
      </c>
      <c r="K10" s="133">
        <f>J10</f>
        <v>1.4374999999999999E-2</v>
      </c>
      <c r="L10" s="134">
        <f>K10</f>
        <v>1.4374999999999999E-2</v>
      </c>
      <c r="M10" s="135" t="s">
        <v>146</v>
      </c>
      <c r="N10" s="136">
        <v>5</v>
      </c>
      <c r="O10" s="201" t="s">
        <v>160</v>
      </c>
      <c r="P10" s="202"/>
    </row>
    <row r="11" spans="1:16" s="12" customFormat="1" ht="30" customHeight="1" x14ac:dyDescent="0.25">
      <c r="A11" s="126">
        <v>2</v>
      </c>
      <c r="B11" s="127" t="s">
        <v>83</v>
      </c>
      <c r="C11" s="128">
        <v>10</v>
      </c>
      <c r="D11" s="128">
        <v>61</v>
      </c>
      <c r="E11" s="129">
        <f>D11-D10</f>
        <v>34</v>
      </c>
      <c r="F11" s="172">
        <v>41.68</v>
      </c>
      <c r="G11" s="140">
        <f>(43.89+43.37+43.91+42.44+43.56+42.4+42.88+42.24+43.84+42.17+42.42+41.93+43.01+42.45+41.84+41.68+43.5+44.65+42.11+42.52+41.75+41.8+43.26+42.93+42.02+43+48.26+42.37+43.33+43.59+43+43.08+42.75)/33</f>
        <v>42.968181818181804</v>
      </c>
      <c r="H11" s="130">
        <v>1</v>
      </c>
      <c r="I11" s="132">
        <f>G11-F11</f>
        <v>1.2881818181818048</v>
      </c>
      <c r="J11" s="133">
        <v>3.2488425925925928E-2</v>
      </c>
      <c r="K11" s="133">
        <f>J11-J10</f>
        <v>1.8113425925925929E-2</v>
      </c>
      <c r="L11" s="133">
        <f>K11</f>
        <v>1.8113425925925929E-2</v>
      </c>
      <c r="M11" s="135" t="s">
        <v>162</v>
      </c>
      <c r="N11" s="136">
        <v>10</v>
      </c>
      <c r="O11" s="201" t="s">
        <v>165</v>
      </c>
      <c r="P11" s="202"/>
    </row>
    <row r="12" spans="1:16" s="12" customFormat="1" ht="30" customHeight="1" thickBot="1" x14ac:dyDescent="0.3">
      <c r="A12" s="126">
        <v>3</v>
      </c>
      <c r="B12" s="127" t="s">
        <v>82</v>
      </c>
      <c r="C12" s="128">
        <v>21</v>
      </c>
      <c r="D12" s="128">
        <v>114</v>
      </c>
      <c r="E12" s="129">
        <f>D12-D11</f>
        <v>53</v>
      </c>
      <c r="F12" s="148">
        <v>40.630000000000003</v>
      </c>
      <c r="G12" s="131">
        <f>(43.02+41.95+41.76+43.51+41.06+41.17+41.73+41.7+41.77+41.26+41.82+41.1+41.5+40.97+41.57+41.12+41.07+40.88+41.52+41.32+41.74+40.63+41.39+42.1+41.07+41.5+41.36+40.73+41.33+41.25+41.16+42.09+41.35+41.39+42.38+41.97+42.08+40.91+41.26+41.02+41.49+40.69+41.24+41.3+41.32+41.49+41.73+41.27+41.33+41.84+41.82+42.04)/52</f>
        <v>41.501346153846157</v>
      </c>
      <c r="H12" s="130">
        <v>2</v>
      </c>
      <c r="I12" s="132">
        <f>G12-F12</f>
        <v>0.87134615384615444</v>
      </c>
      <c r="J12" s="133">
        <v>5.9074074074074077E-2</v>
      </c>
      <c r="K12" s="133">
        <f>J12-J11</f>
        <v>2.658564814814815E-2</v>
      </c>
      <c r="L12" s="134">
        <f>K12+K10</f>
        <v>4.0960648148148149E-2</v>
      </c>
      <c r="M12" s="135" t="s">
        <v>163</v>
      </c>
      <c r="N12" s="136"/>
      <c r="O12" s="41"/>
    </row>
    <row r="13" spans="1:16" s="12" customFormat="1" ht="30" customHeight="1" thickBot="1" x14ac:dyDescent="0.3">
      <c r="A13" s="143">
        <v>4</v>
      </c>
      <c r="B13" s="144" t="s">
        <v>83</v>
      </c>
      <c r="C13" s="145">
        <v>1</v>
      </c>
      <c r="D13" s="145">
        <v>139</v>
      </c>
      <c r="E13" s="208">
        <f>D13-D12</f>
        <v>25</v>
      </c>
      <c r="F13" s="146">
        <v>41.16</v>
      </c>
      <c r="G13" s="147">
        <f>(43.39+43.44+44.02+42.85+42.29+42.34+42.18+42.85+45.26+42.27+41.48+42.04+41.57+41.86+42.02+41.16+42.86+41.77+42.59+43.5+41.69+41.93+42.56+43.11)/24</f>
        <v>42.54291666666667</v>
      </c>
      <c r="H13" s="148">
        <v>0</v>
      </c>
      <c r="I13" s="149">
        <f>G13-F13</f>
        <v>1.3829166666666737</v>
      </c>
      <c r="J13" s="150">
        <v>7.2511574074074062E-2</v>
      </c>
      <c r="K13" s="173">
        <f>J13-J12</f>
        <v>1.3437499999999984E-2</v>
      </c>
      <c r="L13" s="233">
        <f>K13+K11</f>
        <v>3.1550925925925913E-2</v>
      </c>
      <c r="M13" s="211" t="s">
        <v>164</v>
      </c>
      <c r="N13" s="212"/>
    </row>
    <row r="14" spans="1:16" s="12" customFormat="1" ht="30" customHeight="1" thickBot="1" x14ac:dyDescent="0.3">
      <c r="A14" s="126" t="s">
        <v>77</v>
      </c>
      <c r="B14" s="127" t="s">
        <v>82</v>
      </c>
      <c r="C14" s="128">
        <v>7</v>
      </c>
      <c r="D14" s="128">
        <v>163</v>
      </c>
      <c r="E14" s="129">
        <f>D14-D13</f>
        <v>24</v>
      </c>
      <c r="F14" s="228">
        <v>40.28</v>
      </c>
      <c r="G14" s="229">
        <f>(42.6+42.15+41.94+40.28+40.89+41.99+42.26+40.84+40.97+41.82+40.67+41.21+40.54+42.15+41.71+41.79+40.83+41.39+40.93+42.16+41.05+40.37+41.8+42.16)/24</f>
        <v>41.437499999999993</v>
      </c>
      <c r="H14" s="215">
        <v>1</v>
      </c>
      <c r="I14" s="230">
        <f>G14-F14</f>
        <v>1.1574999999999918</v>
      </c>
      <c r="J14" s="203">
        <v>8.4062499999999998E-2</v>
      </c>
      <c r="K14" s="133">
        <f>J14-J13</f>
        <v>1.1550925925925937E-2</v>
      </c>
      <c r="L14" s="133">
        <f>K14+L12</f>
        <v>5.2511574074074086E-2</v>
      </c>
      <c r="M14" s="213"/>
      <c r="N14" s="126">
        <v>50</v>
      </c>
      <c r="O14" s="12" t="s">
        <v>169</v>
      </c>
    </row>
    <row r="15" spans="1:16" ht="27.75" customHeight="1" x14ac:dyDescent="0.25">
      <c r="A15" s="158"/>
      <c r="B15" s="158"/>
      <c r="C15" s="158"/>
      <c r="D15" s="159"/>
      <c r="E15" s="160"/>
      <c r="F15" s="227">
        <f>AVERAGE(F10,F12,F14)</f>
        <v>40.543333333333329</v>
      </c>
      <c r="G15" s="155">
        <f>AVERAGE(G10,G12)</f>
        <v>41.926634615384614</v>
      </c>
      <c r="H15" s="155" t="s">
        <v>134</v>
      </c>
      <c r="I15" s="156">
        <f>AVERAGE(I10,I12,I14)</f>
        <v>1.2202564102564086</v>
      </c>
      <c r="J15" s="160"/>
      <c r="K15" s="160" t="s">
        <v>38</v>
      </c>
      <c r="L15" s="160"/>
      <c r="M15" s="157"/>
      <c r="N15" s="157"/>
    </row>
    <row r="16" spans="1:16" ht="30" customHeight="1" x14ac:dyDescent="0.25">
      <c r="A16" s="164"/>
      <c r="B16" s="164"/>
      <c r="C16" s="164"/>
      <c r="D16" s="160"/>
      <c r="E16" s="160"/>
      <c r="F16" s="161">
        <f>AVERAGE(F11,F13)</f>
        <v>41.42</v>
      </c>
      <c r="G16" s="162">
        <f>AVERAGE(G11,G13)</f>
        <v>42.755549242424237</v>
      </c>
      <c r="H16" s="162" t="s">
        <v>135</v>
      </c>
      <c r="I16" s="163">
        <f>AVERAGE(I11,I13)</f>
        <v>1.3355492424242392</v>
      </c>
      <c r="J16" s="160"/>
      <c r="K16" s="160"/>
      <c r="L16" s="160"/>
      <c r="M16" s="164"/>
      <c r="N16" s="164"/>
    </row>
    <row r="17" spans="6:14" ht="23.25" customHeight="1" thickBot="1" x14ac:dyDescent="0.3">
      <c r="F17" s="165">
        <f>AVERAGE(F10:F13)</f>
        <v>41.047499999999999</v>
      </c>
      <c r="G17" s="166">
        <f>AVERAGE(G10:G13)</f>
        <v>42.341091928904433</v>
      </c>
      <c r="H17" s="167"/>
      <c r="I17" s="168">
        <f>AVERAGE(I10:I13)</f>
        <v>1.2935919289044282</v>
      </c>
    </row>
    <row r="19" spans="6:14" x14ac:dyDescent="0.25">
      <c r="M19" s="4"/>
      <c r="N19" s="4"/>
    </row>
    <row r="20" spans="6:14" x14ac:dyDescent="0.25">
      <c r="M20" s="12"/>
      <c r="N20" s="12"/>
    </row>
    <row r="21" spans="6:14" x14ac:dyDescent="0.25">
      <c r="M21" s="12"/>
      <c r="N21" s="12"/>
    </row>
    <row r="22" spans="6:14" x14ac:dyDescent="0.25">
      <c r="M22" s="12"/>
      <c r="N22" s="1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28"/>
  <sheetViews>
    <sheetView zoomScale="50" zoomScaleNormal="50" workbookViewId="0">
      <selection activeCell="P19" sqref="P19:Q20"/>
    </sheetView>
  </sheetViews>
  <sheetFormatPr defaultRowHeight="15" x14ac:dyDescent="0.25"/>
  <cols>
    <col min="1" max="1" width="9.140625" style="2"/>
    <col min="2" max="2" width="35.42578125" style="2" customWidth="1"/>
    <col min="3" max="3" width="30.28515625" style="2" customWidth="1"/>
    <col min="4" max="4" width="9.85546875" style="2" customWidth="1"/>
    <col min="5" max="5" width="11.28515625" style="2" customWidth="1"/>
    <col min="6" max="9" width="9.85546875" style="4" customWidth="1"/>
    <col min="10" max="10" width="11.28515625" style="2" customWidth="1"/>
    <col min="11" max="11" width="10.5703125" style="2" customWidth="1"/>
    <col min="12" max="16384" width="9.140625" style="2"/>
  </cols>
  <sheetData>
    <row r="1" spans="1:16" ht="48" customHeight="1" x14ac:dyDescent="0.25">
      <c r="A1" s="97" t="s">
        <v>113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6" ht="5.25" customHeight="1" x14ac:dyDescent="0.25"/>
    <row r="3" spans="1:16" ht="19.5" customHeight="1" x14ac:dyDescent="0.35">
      <c r="A3" s="96" t="s">
        <v>58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6" ht="15.75" customHeight="1" thickBot="1" x14ac:dyDescent="0.35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6" s="4" customFormat="1" ht="30" customHeight="1" x14ac:dyDescent="0.25">
      <c r="A5" s="94" t="s">
        <v>2</v>
      </c>
      <c r="B5" s="93" t="s">
        <v>1</v>
      </c>
      <c r="C5" s="92" t="s">
        <v>57</v>
      </c>
      <c r="D5" s="89" t="s">
        <v>56</v>
      </c>
      <c r="E5" s="91" t="s">
        <v>55</v>
      </c>
      <c r="F5" s="91" t="s">
        <v>54</v>
      </c>
      <c r="G5" s="90" t="s">
        <v>53</v>
      </c>
      <c r="H5" s="89"/>
      <c r="I5" s="89"/>
      <c r="J5" s="88"/>
      <c r="K5" s="88"/>
      <c r="L5" s="87"/>
    </row>
    <row r="6" spans="1:16" s="4" customFormat="1" ht="30" customHeight="1" thickBot="1" x14ac:dyDescent="0.3">
      <c r="A6" s="86"/>
      <c r="B6" s="85"/>
      <c r="C6" s="84"/>
      <c r="D6" s="83"/>
      <c r="E6" s="82"/>
      <c r="F6" s="82"/>
      <c r="G6" s="81" t="s">
        <v>52</v>
      </c>
      <c r="H6" s="80" t="s">
        <v>6</v>
      </c>
      <c r="I6" s="80" t="s">
        <v>51</v>
      </c>
      <c r="J6" s="79" t="s">
        <v>50</v>
      </c>
      <c r="K6" s="78" t="s">
        <v>49</v>
      </c>
      <c r="L6" s="77" t="s">
        <v>7</v>
      </c>
    </row>
    <row r="7" spans="1:16" s="12" customFormat="1" ht="30" customHeight="1" x14ac:dyDescent="0.25">
      <c r="A7" s="175">
        <v>1</v>
      </c>
      <c r="B7" s="179" t="s">
        <v>12</v>
      </c>
      <c r="C7" s="187" t="s">
        <v>24</v>
      </c>
      <c r="D7" s="99" t="s">
        <v>48</v>
      </c>
      <c r="E7" s="76">
        <v>81.099999999999994</v>
      </c>
      <c r="F7" s="195"/>
      <c r="G7" s="100">
        <v>3</v>
      </c>
      <c r="H7" s="100">
        <v>39.74</v>
      </c>
      <c r="I7" s="100"/>
      <c r="J7" s="101">
        <f>H7-I7</f>
        <v>39.74</v>
      </c>
      <c r="K7" s="102">
        <f>AVERAGE(J7:J8)</f>
        <v>39.635000000000005</v>
      </c>
      <c r="L7" s="103">
        <v>1</v>
      </c>
      <c r="M7" s="12" t="s">
        <v>112</v>
      </c>
    </row>
    <row r="8" spans="1:16" s="12" customFormat="1" ht="30" customHeight="1" x14ac:dyDescent="0.25">
      <c r="A8" s="176"/>
      <c r="B8" s="180"/>
      <c r="C8" s="188" t="s">
        <v>100</v>
      </c>
      <c r="D8" s="104" t="s">
        <v>47</v>
      </c>
      <c r="E8" s="73">
        <v>85.6</v>
      </c>
      <c r="F8" s="72">
        <v>8</v>
      </c>
      <c r="G8" s="71">
        <v>2</v>
      </c>
      <c r="H8" s="71">
        <v>39.630000000000003</v>
      </c>
      <c r="I8" s="71">
        <v>0.1</v>
      </c>
      <c r="J8" s="58">
        <f>H8-I8</f>
        <v>39.53</v>
      </c>
      <c r="K8" s="70"/>
      <c r="L8" s="59"/>
    </row>
    <row r="9" spans="1:16" s="12" customFormat="1" ht="30" customHeight="1" x14ac:dyDescent="0.25">
      <c r="A9" s="177">
        <v>2</v>
      </c>
      <c r="B9" s="181" t="s">
        <v>14</v>
      </c>
      <c r="C9" s="189" t="s">
        <v>35</v>
      </c>
      <c r="D9" s="105" t="s">
        <v>44</v>
      </c>
      <c r="E9" s="75">
        <v>80.3</v>
      </c>
      <c r="F9" s="72"/>
      <c r="G9" s="71">
        <v>3</v>
      </c>
      <c r="H9" s="71">
        <v>39.93</v>
      </c>
      <c r="I9" s="71"/>
      <c r="J9" s="58">
        <f>H9-I9</f>
        <v>39.93</v>
      </c>
      <c r="K9" s="70">
        <f>AVERAGE(J9:J10)</f>
        <v>40.010000000000005</v>
      </c>
      <c r="L9" s="59">
        <v>4</v>
      </c>
      <c r="M9" s="12" t="s">
        <v>112</v>
      </c>
    </row>
    <row r="10" spans="1:16" s="12" customFormat="1" ht="30" customHeight="1" x14ac:dyDescent="0.25">
      <c r="A10" s="176"/>
      <c r="B10" s="180"/>
      <c r="C10" s="188" t="s">
        <v>105</v>
      </c>
      <c r="D10" s="104" t="s">
        <v>43</v>
      </c>
      <c r="E10" s="73">
        <v>70.5</v>
      </c>
      <c r="F10" s="72"/>
      <c r="G10" s="71">
        <v>4</v>
      </c>
      <c r="H10" s="71">
        <v>40.090000000000003</v>
      </c>
      <c r="I10" s="71"/>
      <c r="J10" s="58">
        <f>H10-I10</f>
        <v>40.090000000000003</v>
      </c>
      <c r="K10" s="70"/>
      <c r="L10" s="59"/>
    </row>
    <row r="11" spans="1:16" s="12" customFormat="1" ht="30" customHeight="1" x14ac:dyDescent="0.25">
      <c r="A11" s="176">
        <v>3</v>
      </c>
      <c r="B11" s="180" t="s">
        <v>15</v>
      </c>
      <c r="C11" s="188" t="s">
        <v>32</v>
      </c>
      <c r="D11" s="104" t="s">
        <v>40</v>
      </c>
      <c r="E11" s="74">
        <v>75</v>
      </c>
      <c r="F11" s="72"/>
      <c r="G11" s="71">
        <v>4</v>
      </c>
      <c r="H11" s="71">
        <v>39.880000000000003</v>
      </c>
      <c r="I11" s="71"/>
      <c r="J11" s="58">
        <f>H11-I11</f>
        <v>39.880000000000003</v>
      </c>
      <c r="K11" s="70">
        <f>AVERAGE(J11:J12)</f>
        <v>40.085000000000001</v>
      </c>
      <c r="L11" s="59">
        <v>5</v>
      </c>
      <c r="M11" s="12" t="s">
        <v>112</v>
      </c>
    </row>
    <row r="12" spans="1:16" s="12" customFormat="1" ht="30" customHeight="1" x14ac:dyDescent="0.25">
      <c r="A12" s="176"/>
      <c r="B12" s="180"/>
      <c r="C12" s="188" t="s">
        <v>97</v>
      </c>
      <c r="D12" s="104" t="s">
        <v>39</v>
      </c>
      <c r="E12" s="74">
        <v>89.8</v>
      </c>
      <c r="F12" s="72">
        <v>12</v>
      </c>
      <c r="G12" s="71">
        <v>6</v>
      </c>
      <c r="H12" s="71">
        <v>40.44</v>
      </c>
      <c r="I12" s="71">
        <v>0.15</v>
      </c>
      <c r="J12" s="58">
        <f>H12-I12</f>
        <v>40.29</v>
      </c>
      <c r="K12" s="70"/>
      <c r="L12" s="59"/>
      <c r="M12" s="12" t="s">
        <v>112</v>
      </c>
    </row>
    <row r="13" spans="1:16" s="12" customFormat="1" ht="30" customHeight="1" x14ac:dyDescent="0.25">
      <c r="A13" s="177">
        <v>4</v>
      </c>
      <c r="B13" s="181" t="s">
        <v>81</v>
      </c>
      <c r="C13" s="189" t="s">
        <v>82</v>
      </c>
      <c r="D13" s="105" t="s">
        <v>37</v>
      </c>
      <c r="E13" s="174">
        <v>77</v>
      </c>
      <c r="F13" s="72"/>
      <c r="G13" s="71">
        <v>6</v>
      </c>
      <c r="H13" s="71">
        <v>40.68</v>
      </c>
      <c r="I13" s="71"/>
      <c r="J13" s="58">
        <f>H13-I13</f>
        <v>40.68</v>
      </c>
      <c r="K13" s="70">
        <f>AVERAGE(J13:J14)</f>
        <v>41.045000000000002</v>
      </c>
      <c r="L13" s="59">
        <v>9</v>
      </c>
      <c r="M13" s="12" t="s">
        <v>112</v>
      </c>
      <c r="N13" s="12" t="s">
        <v>38</v>
      </c>
    </row>
    <row r="14" spans="1:16" s="12" customFormat="1" ht="30" customHeight="1" x14ac:dyDescent="0.25">
      <c r="A14" s="176"/>
      <c r="B14" s="180"/>
      <c r="C14" s="188" t="s">
        <v>83</v>
      </c>
      <c r="D14" s="104" t="s">
        <v>36</v>
      </c>
      <c r="E14" s="74">
        <v>76.5</v>
      </c>
      <c r="F14" s="72"/>
      <c r="G14" s="71">
        <v>7</v>
      </c>
      <c r="H14" s="71">
        <v>41.41</v>
      </c>
      <c r="I14" s="71"/>
      <c r="J14" s="58">
        <f>H14-I14</f>
        <v>41.41</v>
      </c>
      <c r="K14" s="70"/>
      <c r="L14" s="59"/>
      <c r="M14" s="12" t="s">
        <v>112</v>
      </c>
      <c r="P14" s="12" t="s">
        <v>38</v>
      </c>
    </row>
    <row r="15" spans="1:16" s="12" customFormat="1" ht="30" customHeight="1" x14ac:dyDescent="0.25">
      <c r="A15" s="176">
        <v>5</v>
      </c>
      <c r="B15" s="180" t="s">
        <v>109</v>
      </c>
      <c r="C15" s="188" t="s">
        <v>103</v>
      </c>
      <c r="D15" s="104" t="s">
        <v>59</v>
      </c>
      <c r="E15" s="73">
        <v>86.7</v>
      </c>
      <c r="F15" s="72">
        <v>8</v>
      </c>
      <c r="G15" s="71">
        <v>8</v>
      </c>
      <c r="H15" s="71">
        <v>41.27</v>
      </c>
      <c r="I15" s="71">
        <v>0.1</v>
      </c>
      <c r="J15" s="58">
        <f>H15-I15</f>
        <v>41.17</v>
      </c>
      <c r="K15" s="70">
        <f>AVERAGE(J15:J16)</f>
        <v>41.204999999999998</v>
      </c>
      <c r="L15" s="59">
        <v>11</v>
      </c>
    </row>
    <row r="16" spans="1:16" s="12" customFormat="1" ht="30" customHeight="1" x14ac:dyDescent="0.25">
      <c r="A16" s="176"/>
      <c r="B16" s="180"/>
      <c r="C16" s="188" t="s">
        <v>104</v>
      </c>
      <c r="D16" s="104" t="s">
        <v>60</v>
      </c>
      <c r="E16" s="73" t="s">
        <v>13</v>
      </c>
      <c r="F16" s="72"/>
      <c r="G16" s="71">
        <v>7</v>
      </c>
      <c r="H16" s="71">
        <v>41.24</v>
      </c>
      <c r="I16" s="71"/>
      <c r="J16" s="58">
        <f>H16-I16</f>
        <v>41.24</v>
      </c>
      <c r="K16" s="70"/>
      <c r="L16" s="59"/>
    </row>
    <row r="17" spans="1:16" ht="27.75" customHeight="1" x14ac:dyDescent="0.25">
      <c r="A17" s="176">
        <v>6</v>
      </c>
      <c r="B17" s="180" t="s">
        <v>93</v>
      </c>
      <c r="C17" s="188" t="s">
        <v>94</v>
      </c>
      <c r="D17" s="104" t="s">
        <v>34</v>
      </c>
      <c r="E17" s="63" t="s">
        <v>96</v>
      </c>
      <c r="F17" s="62"/>
      <c r="G17" s="61">
        <v>9</v>
      </c>
      <c r="H17" s="61">
        <v>39.71</v>
      </c>
      <c r="I17" s="61"/>
      <c r="J17" s="58">
        <f>H17-I17</f>
        <v>39.71</v>
      </c>
      <c r="K17" s="70">
        <f>AVERAGE(J17:J18)</f>
        <v>39.879999999999995</v>
      </c>
      <c r="L17" s="59">
        <v>3</v>
      </c>
      <c r="M17" s="2" t="s">
        <v>112</v>
      </c>
    </row>
    <row r="18" spans="1:16" ht="27.75" customHeight="1" x14ac:dyDescent="0.25">
      <c r="A18" s="176"/>
      <c r="B18" s="180"/>
      <c r="C18" s="188" t="s">
        <v>95</v>
      </c>
      <c r="D18" s="104" t="s">
        <v>33</v>
      </c>
      <c r="E18" s="63" t="s">
        <v>22</v>
      </c>
      <c r="F18" s="62">
        <v>8</v>
      </c>
      <c r="G18" s="61">
        <v>8</v>
      </c>
      <c r="H18" s="61">
        <v>40.15</v>
      </c>
      <c r="I18" s="61">
        <v>0.1</v>
      </c>
      <c r="J18" s="58">
        <f>H18-I18</f>
        <v>40.049999999999997</v>
      </c>
      <c r="K18" s="70"/>
      <c r="L18" s="59"/>
      <c r="M18" s="2" t="s">
        <v>112</v>
      </c>
    </row>
    <row r="19" spans="1:16" ht="29.25" customHeight="1" x14ac:dyDescent="0.3">
      <c r="A19" s="177">
        <v>7</v>
      </c>
      <c r="B19" s="181" t="s">
        <v>42</v>
      </c>
      <c r="C19" s="189" t="s">
        <v>89</v>
      </c>
      <c r="D19" s="105" t="s">
        <v>61</v>
      </c>
      <c r="E19" s="69" t="s">
        <v>92</v>
      </c>
      <c r="F19" s="62"/>
      <c r="G19" s="61">
        <v>9</v>
      </c>
      <c r="H19" s="61">
        <v>40.04</v>
      </c>
      <c r="I19" s="61"/>
      <c r="J19" s="58">
        <f>H19-I19</f>
        <v>40.04</v>
      </c>
      <c r="K19" s="70">
        <f>AVERAGE(J19:J20)</f>
        <v>40.534999999999997</v>
      </c>
      <c r="L19" s="59">
        <v>6</v>
      </c>
      <c r="M19" s="2" t="s">
        <v>112</v>
      </c>
      <c r="P19" s="200"/>
    </row>
    <row r="20" spans="1:16" ht="29.25" customHeight="1" x14ac:dyDescent="0.3">
      <c r="A20" s="176"/>
      <c r="B20" s="180"/>
      <c r="C20" s="188" t="s">
        <v>90</v>
      </c>
      <c r="D20" s="104" t="s">
        <v>31</v>
      </c>
      <c r="E20" s="63" t="s">
        <v>91</v>
      </c>
      <c r="F20" s="62"/>
      <c r="G20" s="61">
        <v>10</v>
      </c>
      <c r="H20" s="61">
        <v>41.03</v>
      </c>
      <c r="I20" s="61"/>
      <c r="J20" s="58">
        <f>H20-I20</f>
        <v>41.03</v>
      </c>
      <c r="K20" s="70"/>
      <c r="L20" s="59"/>
      <c r="M20" s="2" t="s">
        <v>112</v>
      </c>
      <c r="P20" s="200"/>
    </row>
    <row r="21" spans="1:16" ht="29.25" customHeight="1" x14ac:dyDescent="0.25">
      <c r="A21" s="176">
        <v>8</v>
      </c>
      <c r="B21" s="180" t="s">
        <v>84</v>
      </c>
      <c r="C21" s="188" t="s">
        <v>85</v>
      </c>
      <c r="D21" s="104" t="s">
        <v>29</v>
      </c>
      <c r="E21" s="63" t="s">
        <v>87</v>
      </c>
      <c r="F21" s="62">
        <v>28</v>
      </c>
      <c r="G21" s="61">
        <v>10</v>
      </c>
      <c r="H21" s="61">
        <v>41.64</v>
      </c>
      <c r="I21" s="61">
        <v>0.35</v>
      </c>
      <c r="J21" s="58">
        <f>H21-I21</f>
        <v>41.29</v>
      </c>
      <c r="K21" s="70">
        <f>AVERAGE(J21:J22)</f>
        <v>41.094999999999999</v>
      </c>
      <c r="L21" s="59">
        <v>10</v>
      </c>
      <c r="M21" s="2" t="s">
        <v>112</v>
      </c>
    </row>
    <row r="22" spans="1:16" ht="29.25" customHeight="1" x14ac:dyDescent="0.25">
      <c r="A22" s="176"/>
      <c r="B22" s="180"/>
      <c r="C22" s="188" t="s">
        <v>86</v>
      </c>
      <c r="D22" s="104" t="s">
        <v>27</v>
      </c>
      <c r="E22" s="63" t="s">
        <v>88</v>
      </c>
      <c r="F22" s="62">
        <v>36</v>
      </c>
      <c r="G22" s="61">
        <v>13</v>
      </c>
      <c r="H22" s="61">
        <v>41.35</v>
      </c>
      <c r="I22" s="61">
        <v>0.45</v>
      </c>
      <c r="J22" s="58">
        <f>H22-I22</f>
        <v>40.9</v>
      </c>
      <c r="K22" s="70"/>
      <c r="L22" s="59"/>
      <c r="M22" s="2" t="s">
        <v>112</v>
      </c>
    </row>
    <row r="23" spans="1:16" ht="29.25" customHeight="1" x14ac:dyDescent="0.25">
      <c r="A23" s="177">
        <v>9</v>
      </c>
      <c r="B23" s="181" t="s">
        <v>111</v>
      </c>
      <c r="C23" s="189" t="s">
        <v>30</v>
      </c>
      <c r="D23" s="105" t="s">
        <v>26</v>
      </c>
      <c r="E23" s="69" t="s">
        <v>102</v>
      </c>
      <c r="F23" s="62"/>
      <c r="G23" s="61">
        <v>13</v>
      </c>
      <c r="H23" s="61">
        <v>40.56</v>
      </c>
      <c r="I23" s="61"/>
      <c r="J23" s="58">
        <f>H23-I23</f>
        <v>40.56</v>
      </c>
      <c r="K23" s="70">
        <f t="shared" ref="K23" si="0">AVERAGE(J23:J24)</f>
        <v>41.015000000000001</v>
      </c>
      <c r="L23" s="59">
        <v>8</v>
      </c>
      <c r="M23" s="2" t="s">
        <v>112</v>
      </c>
    </row>
    <row r="24" spans="1:16" ht="29.25" customHeight="1" x14ac:dyDescent="0.25">
      <c r="A24" s="178"/>
      <c r="B24" s="182"/>
      <c r="C24" s="190" t="s">
        <v>101</v>
      </c>
      <c r="D24" s="106" t="s">
        <v>25</v>
      </c>
      <c r="E24" s="68" t="s">
        <v>98</v>
      </c>
      <c r="F24" s="67"/>
      <c r="G24" s="66">
        <v>21</v>
      </c>
      <c r="H24" s="66">
        <v>41.47</v>
      </c>
      <c r="I24" s="66"/>
      <c r="J24" s="65">
        <f>H24-I24</f>
        <v>41.47</v>
      </c>
      <c r="K24" s="70"/>
      <c r="L24" s="64"/>
      <c r="M24" s="2" t="s">
        <v>112</v>
      </c>
    </row>
    <row r="25" spans="1:16" ht="29.25" customHeight="1" x14ac:dyDescent="0.25">
      <c r="A25" s="176">
        <v>10</v>
      </c>
      <c r="B25" s="180" t="s">
        <v>46</v>
      </c>
      <c r="C25" s="188" t="s">
        <v>45</v>
      </c>
      <c r="D25" s="104" t="s">
        <v>23</v>
      </c>
      <c r="E25" s="63" t="s">
        <v>98</v>
      </c>
      <c r="F25" s="62"/>
      <c r="G25" s="61">
        <v>69</v>
      </c>
      <c r="H25" s="61">
        <v>39.89</v>
      </c>
      <c r="I25" s="61"/>
      <c r="J25" s="60">
        <f>H25-I25</f>
        <v>39.89</v>
      </c>
      <c r="K25" s="70">
        <f t="shared" ref="K25:K27" si="1">AVERAGE(J25:J26)</f>
        <v>39.805</v>
      </c>
      <c r="L25" s="59">
        <v>2</v>
      </c>
      <c r="M25" s="2" t="s">
        <v>112</v>
      </c>
    </row>
    <row r="26" spans="1:16" ht="27" customHeight="1" x14ac:dyDescent="0.25">
      <c r="A26" s="178"/>
      <c r="B26" s="182"/>
      <c r="C26" s="190" t="s">
        <v>21</v>
      </c>
      <c r="D26" s="106" t="s">
        <v>20</v>
      </c>
      <c r="E26" s="68" t="s">
        <v>99</v>
      </c>
      <c r="F26" s="67">
        <v>8</v>
      </c>
      <c r="G26" s="66">
        <v>33</v>
      </c>
      <c r="H26" s="66">
        <v>39.82</v>
      </c>
      <c r="I26" s="66">
        <v>0.1</v>
      </c>
      <c r="J26" s="60">
        <f>H26-I26</f>
        <v>39.72</v>
      </c>
      <c r="K26" s="70"/>
      <c r="L26" s="64"/>
      <c r="M26" s="2" t="s">
        <v>112</v>
      </c>
    </row>
    <row r="27" spans="1:16" ht="35.25" customHeight="1" x14ac:dyDescent="0.25">
      <c r="A27" s="197">
        <v>11</v>
      </c>
      <c r="B27" s="183" t="s">
        <v>110</v>
      </c>
      <c r="C27" s="191" t="s">
        <v>106</v>
      </c>
      <c r="D27" s="104" t="s">
        <v>107</v>
      </c>
      <c r="E27" s="199">
        <v>82</v>
      </c>
      <c r="F27" s="196"/>
      <c r="G27" s="193">
        <v>1</v>
      </c>
      <c r="H27" s="98">
        <v>41.2</v>
      </c>
      <c r="I27" s="98"/>
      <c r="J27" s="60">
        <f t="shared" ref="J27:J28" si="2">H27-I27</f>
        <v>41.2</v>
      </c>
      <c r="K27" s="70">
        <f t="shared" si="1"/>
        <v>40.58</v>
      </c>
      <c r="L27" s="64">
        <v>7</v>
      </c>
    </row>
    <row r="28" spans="1:16" ht="33.75" customHeight="1" thickBot="1" x14ac:dyDescent="0.3">
      <c r="A28" s="198"/>
      <c r="B28" s="184"/>
      <c r="C28" s="192" t="s">
        <v>28</v>
      </c>
      <c r="D28" s="107" t="s">
        <v>108</v>
      </c>
      <c r="E28" s="78">
        <v>89.9</v>
      </c>
      <c r="F28" s="77">
        <v>12</v>
      </c>
      <c r="G28" s="194">
        <v>21</v>
      </c>
      <c r="H28" s="78">
        <v>40.11</v>
      </c>
      <c r="I28" s="78">
        <v>0.15</v>
      </c>
      <c r="J28" s="185">
        <f t="shared" si="2"/>
        <v>39.96</v>
      </c>
      <c r="K28" s="108"/>
      <c r="L28" s="186"/>
    </row>
  </sheetData>
  <mergeCells count="53">
    <mergeCell ref="B27:B28"/>
    <mergeCell ref="A27:A28"/>
    <mergeCell ref="K27:K28"/>
    <mergeCell ref="L27:L28"/>
    <mergeCell ref="A23:A24"/>
    <mergeCell ref="B23:B24"/>
    <mergeCell ref="K23:K24"/>
    <mergeCell ref="L23:L24"/>
    <mergeCell ref="A25:A26"/>
    <mergeCell ref="B25:B26"/>
    <mergeCell ref="K25:K26"/>
    <mergeCell ref="L25:L26"/>
    <mergeCell ref="A19:A20"/>
    <mergeCell ref="B19:B20"/>
    <mergeCell ref="K19:K20"/>
    <mergeCell ref="L19:L20"/>
    <mergeCell ref="A21:A22"/>
    <mergeCell ref="B21:B22"/>
    <mergeCell ref="K21:K22"/>
    <mergeCell ref="L21:L22"/>
    <mergeCell ref="A15:A16"/>
    <mergeCell ref="B15:B16"/>
    <mergeCell ref="K15:K16"/>
    <mergeCell ref="L15:L16"/>
    <mergeCell ref="A17:A18"/>
    <mergeCell ref="B17:B18"/>
    <mergeCell ref="K17:K18"/>
    <mergeCell ref="L17:L18"/>
    <mergeCell ref="A11:A12"/>
    <mergeCell ref="B11:B12"/>
    <mergeCell ref="K11:K12"/>
    <mergeCell ref="L11:L12"/>
    <mergeCell ref="A13:A14"/>
    <mergeCell ref="B13:B14"/>
    <mergeCell ref="K13:K14"/>
    <mergeCell ref="L13:L14"/>
    <mergeCell ref="A7:A8"/>
    <mergeCell ref="B7:B8"/>
    <mergeCell ref="K7:K8"/>
    <mergeCell ref="L7:L8"/>
    <mergeCell ref="A9:A10"/>
    <mergeCell ref="B9:B10"/>
    <mergeCell ref="K9:K10"/>
    <mergeCell ref="L9:L10"/>
    <mergeCell ref="A1:L1"/>
    <mergeCell ref="A3:L3"/>
    <mergeCell ref="A5:A6"/>
    <mergeCell ref="B5:B6"/>
    <mergeCell ref="C5:C6"/>
    <mergeCell ref="D5:D6"/>
    <mergeCell ref="E5:E6"/>
    <mergeCell ref="F5:F6"/>
    <mergeCell ref="G5:L5"/>
  </mergeCells>
  <pageMargins left="0.31496062992125984" right="0.31496062992125984" top="0.15748031496062992" bottom="0.11811023622047245" header="0.31496062992125984" footer="0.31496062992125984"/>
  <pageSetup paperSize="9" scale="6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22"/>
  <sheetViews>
    <sheetView tabSelected="1" zoomScale="75" zoomScaleNormal="75" workbookViewId="0">
      <selection activeCell="O14" sqref="O14"/>
    </sheetView>
  </sheetViews>
  <sheetFormatPr defaultRowHeight="15" x14ac:dyDescent="0.25"/>
  <cols>
    <col min="1" max="1" width="8.7109375" style="2" customWidth="1"/>
    <col min="2" max="2" width="30.7109375" style="2" customWidth="1"/>
    <col min="3" max="3" width="9.42578125" style="2" customWidth="1"/>
    <col min="4" max="6" width="9.42578125" style="4" customWidth="1"/>
    <col min="7" max="7" width="11.28515625" style="4" customWidth="1"/>
    <col min="8" max="8" width="12.85546875" style="4" customWidth="1"/>
    <col min="9" max="9" width="13.5703125" style="4" customWidth="1"/>
    <col min="10" max="10" width="13" style="4" customWidth="1"/>
    <col min="11" max="11" width="12" style="4" customWidth="1"/>
    <col min="12" max="12" width="15.85546875" style="4" customWidth="1"/>
    <col min="13" max="13" width="11.42578125" style="2" customWidth="1"/>
    <col min="14" max="14" width="22.28515625" style="2" customWidth="1"/>
    <col min="15" max="16384" width="9.140625" style="2"/>
  </cols>
  <sheetData>
    <row r="4" spans="1:16" ht="18.75" x14ac:dyDescent="0.3">
      <c r="A4" s="109" t="s">
        <v>80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6" ht="7.5" customHeight="1" x14ac:dyDescent="0.25"/>
    <row r="6" spans="1:16" ht="17.25" x14ac:dyDescent="0.3">
      <c r="A6" s="3" t="s">
        <v>14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6" ht="7.5" customHeight="1" x14ac:dyDescent="0.25"/>
    <row r="8" spans="1:16" s="4" customFormat="1" ht="20.25" customHeight="1" x14ac:dyDescent="0.25">
      <c r="A8" s="110" t="s">
        <v>62</v>
      </c>
      <c r="B8" s="111" t="s">
        <v>57</v>
      </c>
      <c r="C8" s="112" t="s">
        <v>52</v>
      </c>
      <c r="D8" s="111" t="s">
        <v>63</v>
      </c>
      <c r="E8" s="113" t="s">
        <v>64</v>
      </c>
      <c r="F8" s="114" t="s">
        <v>65</v>
      </c>
      <c r="G8" s="115"/>
      <c r="H8" s="115"/>
      <c r="I8" s="116"/>
      <c r="J8" s="117" t="s">
        <v>66</v>
      </c>
      <c r="K8" s="110" t="s">
        <v>67</v>
      </c>
      <c r="L8" s="110"/>
      <c r="M8" s="118"/>
      <c r="N8" s="118"/>
    </row>
    <row r="9" spans="1:16" s="4" customFormat="1" ht="27.75" customHeight="1" x14ac:dyDescent="0.25">
      <c r="A9" s="110"/>
      <c r="B9" s="111"/>
      <c r="C9" s="119"/>
      <c r="D9" s="111"/>
      <c r="E9" s="120"/>
      <c r="F9" s="121" t="s">
        <v>68</v>
      </c>
      <c r="G9" s="121" t="s">
        <v>69</v>
      </c>
      <c r="H9" s="121" t="s">
        <v>70</v>
      </c>
      <c r="I9" s="122" t="s">
        <v>71</v>
      </c>
      <c r="J9" s="123"/>
      <c r="K9" s="124" t="s">
        <v>72</v>
      </c>
      <c r="L9" s="124" t="s">
        <v>73</v>
      </c>
      <c r="M9" s="125" t="s">
        <v>74</v>
      </c>
      <c r="N9" s="125" t="s">
        <v>75</v>
      </c>
    </row>
    <row r="10" spans="1:16" s="12" customFormat="1" ht="30" customHeight="1" thickBot="1" x14ac:dyDescent="0.3">
      <c r="A10" s="126">
        <v>1</v>
      </c>
      <c r="B10" s="127" t="s">
        <v>35</v>
      </c>
      <c r="C10" s="128">
        <v>2</v>
      </c>
      <c r="D10" s="128">
        <v>21</v>
      </c>
      <c r="E10" s="129">
        <f>D10</f>
        <v>21</v>
      </c>
      <c r="F10" s="148">
        <v>39.56</v>
      </c>
      <c r="G10" s="131">
        <f>(42.04+40.67+41.26+41.89+40.32+39.84+40.35+39.67+39.73+39.63+39.73+39.7+39.56+40.07+44.01+40.01+40.41+39.91+40.74+40.36)/20</f>
        <v>40.495000000000005</v>
      </c>
      <c r="H10" s="130">
        <v>1</v>
      </c>
      <c r="I10" s="132">
        <f>G10-F10</f>
        <v>0.93500000000000227</v>
      </c>
      <c r="J10" s="133">
        <v>1.0902777777777777E-2</v>
      </c>
      <c r="K10" s="133">
        <f>J10</f>
        <v>1.0902777777777777E-2</v>
      </c>
      <c r="L10" s="134">
        <f>K10</f>
        <v>1.0902777777777777E-2</v>
      </c>
      <c r="M10" s="135" t="s">
        <v>140</v>
      </c>
      <c r="N10" s="136"/>
      <c r="O10" s="201"/>
      <c r="P10" s="202"/>
    </row>
    <row r="11" spans="1:16" s="12" customFormat="1" ht="30" customHeight="1" thickBot="1" x14ac:dyDescent="0.3">
      <c r="A11" s="126">
        <v>2</v>
      </c>
      <c r="B11" s="127" t="s">
        <v>105</v>
      </c>
      <c r="C11" s="128">
        <v>21</v>
      </c>
      <c r="D11" s="128">
        <v>50</v>
      </c>
      <c r="E11" s="129">
        <f>D11-D10</f>
        <v>29</v>
      </c>
      <c r="F11" s="224">
        <v>39.54</v>
      </c>
      <c r="G11" s="222">
        <f>(41.95+40.26+40.42+39.9+39.83+40.01+39.97+40.06+40.07+39.87+40.05+39.68+39.76+40.02+40.04+39.71+39.82+39.73+39.54+39.78+39.7+39.71+39.72+39.75+39.78+39.86+41.34+39.82)/28</f>
        <v>40.005357142857136</v>
      </c>
      <c r="H11" s="130">
        <v>0</v>
      </c>
      <c r="I11" s="132">
        <f>G11-F11</f>
        <v>0.46535714285713681</v>
      </c>
      <c r="J11" s="133">
        <v>2.5428240740740741E-2</v>
      </c>
      <c r="K11" s="133">
        <f>J11-J10</f>
        <v>1.4525462962962964E-2</v>
      </c>
      <c r="L11" s="133">
        <f>K11</f>
        <v>1.4525462962962964E-2</v>
      </c>
      <c r="M11" s="135" t="s">
        <v>158</v>
      </c>
      <c r="N11" s="136"/>
      <c r="O11" s="201"/>
      <c r="P11" s="202"/>
    </row>
    <row r="12" spans="1:16" s="12" customFormat="1" ht="30" customHeight="1" thickBot="1" x14ac:dyDescent="0.3">
      <c r="A12" s="126">
        <v>3</v>
      </c>
      <c r="B12" s="127" t="s">
        <v>105</v>
      </c>
      <c r="C12" s="128">
        <v>69</v>
      </c>
      <c r="D12" s="128">
        <v>105</v>
      </c>
      <c r="E12" s="129">
        <f>D12-D11</f>
        <v>55</v>
      </c>
      <c r="F12" s="223">
        <v>39.619999999999997</v>
      </c>
      <c r="G12" s="131">
        <f>(41.21+39.89+39.79+39.89+40.36+40.01+40.14+40.27+39.71+39.76+40.63+39.91+39.72+39.86+39.93+39.77+39.77+40.21+39.86+40.57+39.77+39.89+39.74+39.89+39.86+39.92+39.84+39.73+39.97+40.19+39.98+39.7+40.05+40.8+40.79+39.78+39.71+39.92+40.45+39.8+39.68+39.77+39.67+39.98+39.7+39.8+39.65+39.62+40.43+40.63+39.97+40.29+39.94+39.93)/54</f>
        <v>40.00185185185186</v>
      </c>
      <c r="H12" s="130">
        <v>7</v>
      </c>
      <c r="I12" s="132">
        <f>G12-F12</f>
        <v>0.38185185185186299</v>
      </c>
      <c r="J12" s="205">
        <v>5.2071759259259255E-2</v>
      </c>
      <c r="K12" s="133">
        <f>J12-J11</f>
        <v>2.6643518518518514E-2</v>
      </c>
      <c r="L12" s="134">
        <f>K12+K11</f>
        <v>4.116898148148148E-2</v>
      </c>
      <c r="M12" s="135" t="s">
        <v>159</v>
      </c>
      <c r="N12" s="136">
        <v>5</v>
      </c>
      <c r="O12" s="41" t="s">
        <v>160</v>
      </c>
    </row>
    <row r="13" spans="1:16" s="12" customFormat="1" ht="30" customHeight="1" thickBot="1" x14ac:dyDescent="0.3">
      <c r="A13" s="143" t="s">
        <v>77</v>
      </c>
      <c r="B13" s="144" t="s">
        <v>35</v>
      </c>
      <c r="C13" s="145">
        <v>9</v>
      </c>
      <c r="D13" s="145">
        <v>174</v>
      </c>
      <c r="E13" s="129">
        <f>D13-D12</f>
        <v>69</v>
      </c>
      <c r="F13" s="226">
        <v>39.049999999999997</v>
      </c>
      <c r="G13" s="232">
        <f>(41.05+39.83+39.94+39.54+40+39.45+39.91+39.69+39.43+39.62+39.73+39.92+39.56+41.46+39.51+39.64+39.5+39.41+39.63+39.49+39.56+39.58+39.52+39.43+39.46+39.92+39.56+39.53+39.79+39.83+39.66+39.05+39.44+39.25+39.52+39.22+39.79+39.62+39.88+39.64+39.33+40.94+39.48+39.42+39.35+39.37+39.96+39.35+39.47+39.46+39.59+39.23+39.74+39.48+39.7+39.7+39.28+39.48+39.3+39.38+39.55+39.4+39.44+39.37+39.72+39.39+39.72+39.42+39.4)/69</f>
        <v>39.622898550724628</v>
      </c>
      <c r="H13" s="148">
        <v>0</v>
      </c>
      <c r="I13" s="149">
        <f>G13-F13</f>
        <v>0.5728985507246307</v>
      </c>
      <c r="J13" s="150">
        <v>8.3761574074074072E-2</v>
      </c>
      <c r="K13" s="173">
        <f>J13-J12</f>
        <v>3.1689814814814816E-2</v>
      </c>
      <c r="L13" s="150">
        <f>K13+K10</f>
        <v>4.2592592592592592E-2</v>
      </c>
      <c r="M13" s="135"/>
      <c r="N13" s="136">
        <v>5</v>
      </c>
      <c r="O13" s="12" t="s">
        <v>188</v>
      </c>
    </row>
    <row r="14" spans="1:16" s="12" customFormat="1" ht="30" customHeight="1" x14ac:dyDescent="0.25">
      <c r="A14" s="151"/>
      <c r="B14" s="152"/>
      <c r="C14" s="153"/>
      <c r="D14" s="153"/>
      <c r="E14" s="153"/>
      <c r="F14" s="227">
        <f>AVERAGE(F10,F13)</f>
        <v>39.305</v>
      </c>
      <c r="G14" s="155">
        <f>AVERAGE(G10,G13)</f>
        <v>40.058949275362316</v>
      </c>
      <c r="H14" s="155" t="s">
        <v>125</v>
      </c>
      <c r="I14" s="156">
        <f>AVERAGE(I10,I13)</f>
        <v>0.75394927536231648</v>
      </c>
      <c r="J14" s="153"/>
      <c r="K14" s="153"/>
      <c r="L14" s="153"/>
      <c r="M14" s="157"/>
      <c r="N14" s="157"/>
    </row>
    <row r="15" spans="1:16" ht="27.75" customHeight="1" x14ac:dyDescent="0.25">
      <c r="A15" s="158"/>
      <c r="B15" s="158"/>
      <c r="C15" s="158"/>
      <c r="D15" s="159"/>
      <c r="E15" s="160"/>
      <c r="F15" s="161">
        <f>AVERAGE(F11:F12)</f>
        <v>39.58</v>
      </c>
      <c r="G15" s="162">
        <f>AVERAGE(G11:G12)</f>
        <v>40.003604497354502</v>
      </c>
      <c r="H15" s="162" t="s">
        <v>135</v>
      </c>
      <c r="I15" s="163">
        <f>AVERAGE(I11:I12)</f>
        <v>0.4236044973544999</v>
      </c>
      <c r="J15" s="160"/>
      <c r="K15" s="160" t="s">
        <v>38</v>
      </c>
      <c r="L15" s="160"/>
      <c r="M15" s="157"/>
      <c r="N15" s="157"/>
    </row>
    <row r="16" spans="1:16" ht="30" customHeight="1" thickBot="1" x14ac:dyDescent="0.3">
      <c r="A16" s="164"/>
      <c r="B16" s="164"/>
      <c r="C16" s="164"/>
      <c r="D16" s="160"/>
      <c r="E16" s="160"/>
      <c r="F16" s="165">
        <f>AVERAGE(F10:F13)</f>
        <v>39.442499999999995</v>
      </c>
      <c r="G16" s="166">
        <f>AVERAGE(G10:G13)</f>
        <v>40.031276886358413</v>
      </c>
      <c r="H16" s="167"/>
      <c r="I16" s="168">
        <f>AVERAGE(I10:I13)</f>
        <v>0.58877688635840819</v>
      </c>
      <c r="J16" s="160"/>
      <c r="K16" s="160"/>
      <c r="L16" s="160"/>
      <c r="M16" s="164"/>
      <c r="N16" s="164"/>
    </row>
    <row r="19" spans="13:14" x14ac:dyDescent="0.25">
      <c r="M19" s="4"/>
      <c r="N19" s="4"/>
    </row>
    <row r="20" spans="13:14" x14ac:dyDescent="0.25">
      <c r="M20" s="12"/>
      <c r="N20" s="12"/>
    </row>
    <row r="21" spans="13:14" x14ac:dyDescent="0.25">
      <c r="M21" s="12"/>
      <c r="N21" s="12"/>
    </row>
    <row r="22" spans="13:14" x14ac:dyDescent="0.25">
      <c r="M22" s="12"/>
      <c r="N22" s="1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22"/>
  <sheetViews>
    <sheetView zoomScale="75" zoomScaleNormal="75" workbookViewId="0">
      <selection activeCell="F14" sqref="F14:I16"/>
    </sheetView>
  </sheetViews>
  <sheetFormatPr defaultRowHeight="15" x14ac:dyDescent="0.25"/>
  <cols>
    <col min="1" max="1" width="8.7109375" style="2" customWidth="1"/>
    <col min="2" max="2" width="30.7109375" style="2" customWidth="1"/>
    <col min="3" max="3" width="9.42578125" style="2" customWidth="1"/>
    <col min="4" max="6" width="9.42578125" style="4" customWidth="1"/>
    <col min="7" max="7" width="11.28515625" style="4" customWidth="1"/>
    <col min="8" max="8" width="12.85546875" style="4" customWidth="1"/>
    <col min="9" max="9" width="13.5703125" style="4" customWidth="1"/>
    <col min="10" max="10" width="13" style="4" customWidth="1"/>
    <col min="11" max="11" width="12" style="4" customWidth="1"/>
    <col min="12" max="12" width="15.85546875" style="4" customWidth="1"/>
    <col min="13" max="13" width="11.42578125" style="2" customWidth="1"/>
    <col min="14" max="14" width="22.28515625" style="2" customWidth="1"/>
    <col min="15" max="16384" width="9.140625" style="2"/>
  </cols>
  <sheetData>
    <row r="4" spans="1:16" ht="18.75" x14ac:dyDescent="0.3">
      <c r="A4" s="109" t="s">
        <v>80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6" ht="7.5" customHeight="1" x14ac:dyDescent="0.25"/>
    <row r="6" spans="1:16" ht="17.25" x14ac:dyDescent="0.3">
      <c r="A6" s="3" t="s">
        <v>12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6" ht="7.5" customHeight="1" x14ac:dyDescent="0.25"/>
    <row r="8" spans="1:16" s="4" customFormat="1" ht="20.25" customHeight="1" x14ac:dyDescent="0.25">
      <c r="A8" s="110" t="s">
        <v>62</v>
      </c>
      <c r="B8" s="111" t="s">
        <v>57</v>
      </c>
      <c r="C8" s="112" t="s">
        <v>52</v>
      </c>
      <c r="D8" s="111" t="s">
        <v>63</v>
      </c>
      <c r="E8" s="113" t="s">
        <v>64</v>
      </c>
      <c r="F8" s="114" t="s">
        <v>65</v>
      </c>
      <c r="G8" s="115"/>
      <c r="H8" s="115"/>
      <c r="I8" s="116"/>
      <c r="J8" s="117" t="s">
        <v>66</v>
      </c>
      <c r="K8" s="110" t="s">
        <v>67</v>
      </c>
      <c r="L8" s="110"/>
      <c r="M8" s="118"/>
      <c r="N8" s="118"/>
    </row>
    <row r="9" spans="1:16" s="4" customFormat="1" ht="27.75" customHeight="1" x14ac:dyDescent="0.25">
      <c r="A9" s="110"/>
      <c r="B9" s="111"/>
      <c r="C9" s="119"/>
      <c r="D9" s="111"/>
      <c r="E9" s="120"/>
      <c r="F9" s="121" t="s">
        <v>68</v>
      </c>
      <c r="G9" s="121" t="s">
        <v>69</v>
      </c>
      <c r="H9" s="121" t="s">
        <v>70</v>
      </c>
      <c r="I9" s="122" t="s">
        <v>71</v>
      </c>
      <c r="J9" s="123"/>
      <c r="K9" s="124" t="s">
        <v>72</v>
      </c>
      <c r="L9" s="124" t="s">
        <v>73</v>
      </c>
      <c r="M9" s="125" t="s">
        <v>74</v>
      </c>
      <c r="N9" s="125" t="s">
        <v>75</v>
      </c>
    </row>
    <row r="10" spans="1:16" s="12" customFormat="1" ht="30" customHeight="1" thickBot="1" x14ac:dyDescent="0.3">
      <c r="A10" s="126">
        <v>1</v>
      </c>
      <c r="B10" s="127" t="s">
        <v>24</v>
      </c>
      <c r="C10" s="128">
        <v>1</v>
      </c>
      <c r="D10" s="128">
        <v>21</v>
      </c>
      <c r="E10" s="129">
        <f>D10</f>
        <v>21</v>
      </c>
      <c r="F10" s="148">
        <v>39.81</v>
      </c>
      <c r="G10" s="131">
        <f>(40.29+40.31+40.3+40.37+39.99+40.2+39.97+39.81+39.96+39.9+40.22+40.1+40.09+39.94+42.37+40.12+40.58+40.23+40.06+40)/20</f>
        <v>40.240500000000011</v>
      </c>
      <c r="H10" s="130">
        <v>1</v>
      </c>
      <c r="I10" s="132">
        <f>G10-F10</f>
        <v>0.43050000000000921</v>
      </c>
      <c r="J10" s="133">
        <v>1.0752314814814814E-2</v>
      </c>
      <c r="K10" s="133">
        <f>J10</f>
        <v>1.0752314814814814E-2</v>
      </c>
      <c r="L10" s="134">
        <f>K10</f>
        <v>1.0752314814814814E-2</v>
      </c>
      <c r="M10" s="135" t="s">
        <v>138</v>
      </c>
      <c r="N10" s="136">
        <v>-8</v>
      </c>
      <c r="O10" s="201" t="s">
        <v>156</v>
      </c>
      <c r="P10" s="202"/>
    </row>
    <row r="11" spans="1:16" s="12" customFormat="1" ht="30" customHeight="1" thickBot="1" x14ac:dyDescent="0.3">
      <c r="A11" s="126">
        <v>2</v>
      </c>
      <c r="B11" s="127" t="s">
        <v>100</v>
      </c>
      <c r="C11" s="128">
        <v>33</v>
      </c>
      <c r="D11" s="128">
        <v>85</v>
      </c>
      <c r="E11" s="129">
        <f>D11-D10</f>
        <v>64</v>
      </c>
      <c r="F11" s="225">
        <v>39.51</v>
      </c>
      <c r="G11" s="222">
        <f>(41.7+39.92+40.09+40.24+39.52+39.53+40.09+40.06+40.21+40.02+40.88+39.67+39.68+40.13+39.78+39.94+39.67+39.72+39.51+39.94+40.04+39.74+39.58+39.54+40.1+41.51+40.1+39.9+39.67+39.9+39.83+39.76+39.67+39.84+39.89+39.83+39.87+39.75+39.93+39.94+39.91+39.66+39.72+39.93+39.72+39.93+39.95+39.85+40.1+39.76+40.08+39.8+39.86+39.61+39.88+39.84+39.53+39.65+39.85+40.77+40.1+39.92+39.9)/63</f>
        <v>39.936666666666682</v>
      </c>
      <c r="H11" s="130">
        <v>6</v>
      </c>
      <c r="I11" s="132">
        <f>G11-F11</f>
        <v>0.42666666666668362</v>
      </c>
      <c r="J11" s="133">
        <v>4.1550925925925929E-2</v>
      </c>
      <c r="K11" s="133">
        <f>J11-J10</f>
        <v>3.0798611111111117E-2</v>
      </c>
      <c r="L11" s="133">
        <f>K11</f>
        <v>3.0798611111111117E-2</v>
      </c>
      <c r="M11" s="135" t="s">
        <v>154</v>
      </c>
      <c r="N11" s="136">
        <v>10</v>
      </c>
      <c r="O11" s="201" t="s">
        <v>157</v>
      </c>
      <c r="P11" s="202"/>
    </row>
    <row r="12" spans="1:16" s="12" customFormat="1" ht="30" customHeight="1" thickBot="1" x14ac:dyDescent="0.3">
      <c r="A12" s="126">
        <v>3</v>
      </c>
      <c r="B12" s="127" t="s">
        <v>100</v>
      </c>
      <c r="C12" s="204">
        <v>1</v>
      </c>
      <c r="D12" s="128">
        <v>120</v>
      </c>
      <c r="E12" s="129">
        <f>D12-D11</f>
        <v>35</v>
      </c>
      <c r="F12" s="223">
        <v>39.93</v>
      </c>
      <c r="G12" s="131">
        <f>(40.83+40.31+40.27+40.26+39.96+40.66+40.19+40.24+40.05+40.62+40.6+39.93+40.19+40.27+40.8+41.49+40.83+40.53+40.32+41.39+40.47+40.5+40.46+40.33+40.24+40.23+40.76+40.21+40.17+40.37+40.26+40.21+40.16+41.12)/34</f>
        <v>40.447941176470593</v>
      </c>
      <c r="H12" s="130">
        <v>1</v>
      </c>
      <c r="I12" s="132">
        <f>G12-F12</f>
        <v>0.51794117647059323</v>
      </c>
      <c r="J12" s="133">
        <v>5.9050925925925923E-2</v>
      </c>
      <c r="K12" s="133">
        <f>J12-J11</f>
        <v>1.7499999999999995E-2</v>
      </c>
      <c r="L12" s="134">
        <f>K12+K11</f>
        <v>4.8298611111111112E-2</v>
      </c>
      <c r="M12" s="135" t="s">
        <v>155</v>
      </c>
      <c r="N12" s="136"/>
      <c r="O12" s="41"/>
    </row>
    <row r="13" spans="1:16" s="12" customFormat="1" ht="30" customHeight="1" thickBot="1" x14ac:dyDescent="0.3">
      <c r="A13" s="143" t="s">
        <v>77</v>
      </c>
      <c r="B13" s="144" t="s">
        <v>24</v>
      </c>
      <c r="C13" s="145">
        <v>4</v>
      </c>
      <c r="D13" s="145">
        <v>174</v>
      </c>
      <c r="E13" s="129">
        <f>D13-D12</f>
        <v>54</v>
      </c>
      <c r="F13" s="231">
        <v>39.69</v>
      </c>
      <c r="G13" s="147">
        <f>(42.58+40.37+40.13+40.63+40.09+40.1+39.93+40.18+39.97+40.08+40.3+39.69+39.98+39.84+39.86+39.74+39.78+40.15+40.16+39.74+39.98+40+39.99+40.38+40.87+42.28+39.72+40.02+40.25+41.47+40.38+40.61+40.1+39.83+39.79+39.99+39.73+39.79+39.95+39.87+39.85+39.9+40.1+39.8+40.23+39.98+39.78+40.04+39.93+39.84+39.87+39.9+39.86+39.96)/54</f>
        <v>40.135925925925918</v>
      </c>
      <c r="H13" s="148">
        <v>8</v>
      </c>
      <c r="I13" s="149">
        <f>G13-F13</f>
        <v>0.44592592592591984</v>
      </c>
      <c r="J13" s="150">
        <v>8.4178240740740748E-2</v>
      </c>
      <c r="K13" s="173">
        <f>J13-J12</f>
        <v>2.5127314814814825E-2</v>
      </c>
      <c r="L13" s="150">
        <f>K13+K10</f>
        <v>3.5879629629629636E-2</v>
      </c>
      <c r="M13" s="135"/>
      <c r="N13" s="136"/>
    </row>
    <row r="14" spans="1:16" s="12" customFormat="1" ht="30" customHeight="1" x14ac:dyDescent="0.25">
      <c r="A14" s="151"/>
      <c r="B14" s="152"/>
      <c r="C14" s="153"/>
      <c r="D14" s="153"/>
      <c r="E14" s="153"/>
      <c r="F14" s="227">
        <f>AVERAGE(F10,F13)</f>
        <v>39.75</v>
      </c>
      <c r="G14" s="155">
        <f>AVERAGE(G10,G13)</f>
        <v>40.188212962962965</v>
      </c>
      <c r="H14" s="155" t="s">
        <v>78</v>
      </c>
      <c r="I14" s="156">
        <f>AVERAGE(I10,I13)</f>
        <v>0.43821296296296453</v>
      </c>
      <c r="J14" s="153"/>
      <c r="K14" s="153"/>
      <c r="L14" s="153"/>
      <c r="M14" s="157"/>
      <c r="N14" s="157"/>
    </row>
    <row r="15" spans="1:16" ht="27.75" customHeight="1" x14ac:dyDescent="0.25">
      <c r="A15" s="158"/>
      <c r="B15" s="158"/>
      <c r="C15" s="158"/>
      <c r="D15" s="159"/>
      <c r="E15" s="160"/>
      <c r="F15" s="161">
        <f>AVERAGE(F11:F12)</f>
        <v>39.72</v>
      </c>
      <c r="G15" s="162">
        <f>AVERAGE(G11:G12)</f>
        <v>40.192303921568637</v>
      </c>
      <c r="H15" s="162" t="s">
        <v>123</v>
      </c>
      <c r="I15" s="163">
        <f>AVERAGE(I11:I12)</f>
        <v>0.47230392156863843</v>
      </c>
      <c r="J15" s="160"/>
      <c r="K15" s="160" t="s">
        <v>38</v>
      </c>
      <c r="L15" s="160"/>
      <c r="M15" s="157"/>
      <c r="N15" s="157"/>
    </row>
    <row r="16" spans="1:16" ht="30" customHeight="1" thickBot="1" x14ac:dyDescent="0.3">
      <c r="A16" s="164"/>
      <c r="B16" s="164"/>
      <c r="C16" s="164"/>
      <c r="D16" s="160"/>
      <c r="E16" s="160"/>
      <c r="F16" s="165">
        <f>AVERAGE(F10:F13)</f>
        <v>39.734999999999999</v>
      </c>
      <c r="G16" s="166">
        <f>AVERAGE(G10:G13)</f>
        <v>40.190258442265801</v>
      </c>
      <c r="H16" s="167"/>
      <c r="I16" s="168">
        <f>AVERAGE(I10:I13)</f>
        <v>0.45525844226580148</v>
      </c>
      <c r="J16" s="160"/>
      <c r="K16" s="160"/>
      <c r="L16" s="160"/>
      <c r="M16" s="164"/>
      <c r="N16" s="164"/>
    </row>
    <row r="19" spans="13:14" x14ac:dyDescent="0.25">
      <c r="M19" s="4"/>
      <c r="N19" s="4"/>
    </row>
    <row r="20" spans="13:14" x14ac:dyDescent="0.25">
      <c r="M20" s="12"/>
      <c r="N20" s="12"/>
    </row>
    <row r="21" spans="13:14" x14ac:dyDescent="0.25">
      <c r="M21" s="12"/>
      <c r="N21" s="12"/>
    </row>
    <row r="22" spans="13:14" x14ac:dyDescent="0.25">
      <c r="M22" s="12"/>
      <c r="N22" s="1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22"/>
  <sheetViews>
    <sheetView zoomScale="75" zoomScaleNormal="75" workbookViewId="0">
      <selection activeCell="H14" sqref="H14"/>
    </sheetView>
  </sheetViews>
  <sheetFormatPr defaultRowHeight="15" x14ac:dyDescent="0.25"/>
  <cols>
    <col min="1" max="1" width="8.7109375" style="2" customWidth="1"/>
    <col min="2" max="2" width="30.7109375" style="2" customWidth="1"/>
    <col min="3" max="3" width="9.42578125" style="2" customWidth="1"/>
    <col min="4" max="6" width="9.42578125" style="4" customWidth="1"/>
    <col min="7" max="7" width="11.28515625" style="4" customWidth="1"/>
    <col min="8" max="8" width="12.85546875" style="4" customWidth="1"/>
    <col min="9" max="9" width="13.5703125" style="4" customWidth="1"/>
    <col min="10" max="10" width="13" style="4" customWidth="1"/>
    <col min="11" max="11" width="12" style="4" customWidth="1"/>
    <col min="12" max="12" width="15.85546875" style="4" customWidth="1"/>
    <col min="13" max="13" width="11.42578125" style="2" customWidth="1"/>
    <col min="14" max="14" width="22.28515625" style="2" customWidth="1"/>
    <col min="15" max="16384" width="9.140625" style="2"/>
  </cols>
  <sheetData>
    <row r="4" spans="1:16" ht="18.75" x14ac:dyDescent="0.3">
      <c r="A4" s="109" t="s">
        <v>80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6" ht="7.5" customHeight="1" x14ac:dyDescent="0.25"/>
    <row r="6" spans="1:16" ht="17.25" x14ac:dyDescent="0.3">
      <c r="A6" s="3" t="s">
        <v>93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6" ht="7.5" customHeight="1" x14ac:dyDescent="0.25"/>
    <row r="8" spans="1:16" s="4" customFormat="1" ht="20.25" customHeight="1" x14ac:dyDescent="0.25">
      <c r="A8" s="110" t="s">
        <v>62</v>
      </c>
      <c r="B8" s="111" t="s">
        <v>57</v>
      </c>
      <c r="C8" s="112" t="s">
        <v>52</v>
      </c>
      <c r="D8" s="111" t="s">
        <v>63</v>
      </c>
      <c r="E8" s="113" t="s">
        <v>64</v>
      </c>
      <c r="F8" s="114" t="s">
        <v>65</v>
      </c>
      <c r="G8" s="115"/>
      <c r="H8" s="115"/>
      <c r="I8" s="116"/>
      <c r="J8" s="117" t="s">
        <v>66</v>
      </c>
      <c r="K8" s="110" t="s">
        <v>67</v>
      </c>
      <c r="L8" s="110"/>
      <c r="M8" s="118"/>
      <c r="N8" s="118"/>
    </row>
    <row r="9" spans="1:16" s="4" customFormat="1" ht="27.75" customHeight="1" x14ac:dyDescent="0.25">
      <c r="A9" s="110"/>
      <c r="B9" s="111"/>
      <c r="C9" s="119"/>
      <c r="D9" s="111"/>
      <c r="E9" s="120"/>
      <c r="F9" s="121" t="s">
        <v>68</v>
      </c>
      <c r="G9" s="121" t="s">
        <v>69</v>
      </c>
      <c r="H9" s="121" t="s">
        <v>70</v>
      </c>
      <c r="I9" s="122" t="s">
        <v>71</v>
      </c>
      <c r="J9" s="123"/>
      <c r="K9" s="124" t="s">
        <v>72</v>
      </c>
      <c r="L9" s="124" t="s">
        <v>73</v>
      </c>
      <c r="M9" s="125" t="s">
        <v>74</v>
      </c>
      <c r="N9" s="125" t="s">
        <v>75</v>
      </c>
    </row>
    <row r="10" spans="1:16" s="12" customFormat="1" ht="30" customHeight="1" x14ac:dyDescent="0.25">
      <c r="A10" s="126">
        <v>1</v>
      </c>
      <c r="B10" s="127" t="s">
        <v>116</v>
      </c>
      <c r="C10" s="128">
        <v>7</v>
      </c>
      <c r="D10" s="128">
        <v>22</v>
      </c>
      <c r="E10" s="129">
        <f>D10</f>
        <v>22</v>
      </c>
      <c r="F10" s="130">
        <v>39.520000000000003</v>
      </c>
      <c r="G10" s="131">
        <f>(41.97+40.66+41.7+41.46+40.1+40.06+40.32+39.55+39.52+39.53+39.74+39.63+39.76+40.44+40.59+40.83+39.88+41.16+39.69+40.45+40.2)/21</f>
        <v>40.344761904761917</v>
      </c>
      <c r="H10" s="130">
        <v>2</v>
      </c>
      <c r="I10" s="132">
        <f>G10-F10</f>
        <v>0.82476190476191391</v>
      </c>
      <c r="J10" s="133">
        <v>1.1238425925925928E-2</v>
      </c>
      <c r="K10" s="133">
        <f>J10</f>
        <v>1.1238425925925928E-2</v>
      </c>
      <c r="L10" s="134">
        <f>K10</f>
        <v>1.1238425925925928E-2</v>
      </c>
      <c r="M10" s="135" t="s">
        <v>139</v>
      </c>
      <c r="N10" s="136">
        <v>-8</v>
      </c>
      <c r="O10" s="201" t="s">
        <v>76</v>
      </c>
      <c r="P10" s="202"/>
    </row>
    <row r="11" spans="1:16" s="12" customFormat="1" ht="30" customHeight="1" thickBot="1" x14ac:dyDescent="0.3">
      <c r="A11" s="126">
        <v>2</v>
      </c>
      <c r="B11" s="127" t="s">
        <v>95</v>
      </c>
      <c r="C11" s="128">
        <v>1</v>
      </c>
      <c r="D11" s="128">
        <v>79</v>
      </c>
      <c r="E11" s="129">
        <f>D11-D10</f>
        <v>57</v>
      </c>
      <c r="F11" s="139">
        <v>39.89</v>
      </c>
      <c r="G11" s="140">
        <f>(41.4+41.22+40.2+40.49+40.33+40.2+39.9+40.16+40.27+40.12+40.38+41.99+40+40.89+40.15+40.63+40.22+40.11+40.06+40.27+40.11+40.06+39.93+39.98+40.11+41.14+40.15+41.79+40.41+40.76+40.49+40+40.39+40.35+40.17+40.53+40.4+40.39+40.44+40.36+40.3+40+40.38+40.01+40.24+40.11+39.96+39.89+40.33+40.16+40.41+39.97+40.32+40.09+40.33+40.3)/56</f>
        <v>40.352678571428591</v>
      </c>
      <c r="H11" s="130">
        <v>5</v>
      </c>
      <c r="I11" s="132">
        <f>G11-F11</f>
        <v>0.46267857142859015</v>
      </c>
      <c r="J11" s="133">
        <v>3.8969907407407404E-2</v>
      </c>
      <c r="K11" s="133">
        <f>J11-J10</f>
        <v>2.7731481481481475E-2</v>
      </c>
      <c r="L11" s="133">
        <f>K11</f>
        <v>2.7731481481481475E-2</v>
      </c>
      <c r="M11" s="135" t="s">
        <v>171</v>
      </c>
      <c r="N11" s="136"/>
      <c r="O11" s="201"/>
      <c r="P11" s="202"/>
    </row>
    <row r="12" spans="1:16" s="12" customFormat="1" ht="30" customHeight="1" thickBot="1" x14ac:dyDescent="0.3">
      <c r="A12" s="126">
        <v>3</v>
      </c>
      <c r="B12" s="127" t="s">
        <v>95</v>
      </c>
      <c r="C12" s="128">
        <v>4</v>
      </c>
      <c r="D12" s="128">
        <v>119</v>
      </c>
      <c r="E12" s="129">
        <f>D12-D11</f>
        <v>40</v>
      </c>
      <c r="F12" s="170">
        <v>39.69</v>
      </c>
      <c r="G12" s="142">
        <f>(41.04+40.06+39.81+39.9+39.69+39.88+42.06+41.04+39.93+39.9+39.97+39.81+39.81+40.68+40.08+40.47+39.89+39.78+39.9+39.85+40.01+39.84+39.86+40.2+40.12+39.99+39.87+40.11+42.97+40.6+40.22+40.31+39.91+40.27+40.14+40.08+40.01+40.02+39.98)/39</f>
        <v>40.206666666666656</v>
      </c>
      <c r="H12" s="130">
        <v>1</v>
      </c>
      <c r="I12" s="132">
        <f>G12-F12</f>
        <v>0.51666666666665861</v>
      </c>
      <c r="J12" s="133">
        <v>5.8692129629629629E-2</v>
      </c>
      <c r="K12" s="133">
        <f>J12-J11</f>
        <v>1.9722222222222224E-2</v>
      </c>
      <c r="L12" s="134">
        <f>K12+K11</f>
        <v>4.7453703703703699E-2</v>
      </c>
      <c r="M12" s="135" t="s">
        <v>172</v>
      </c>
      <c r="N12" s="136"/>
      <c r="O12" s="41"/>
    </row>
    <row r="13" spans="1:16" s="12" customFormat="1" ht="30" customHeight="1" thickBot="1" x14ac:dyDescent="0.3">
      <c r="A13" s="143" t="s">
        <v>77</v>
      </c>
      <c r="B13" s="144" t="s">
        <v>116</v>
      </c>
      <c r="C13" s="145">
        <v>69</v>
      </c>
      <c r="D13" s="145">
        <v>174</v>
      </c>
      <c r="E13" s="129">
        <f>D13-D12</f>
        <v>55</v>
      </c>
      <c r="F13" s="169">
        <v>39.29</v>
      </c>
      <c r="G13" s="142">
        <f>(41+39.73+40.07+42.16+39.72+39.56+39.63+39.87+39.94+39.62+39.81+39.78+39.91+39.41+39.56+39.35+39.52+39.42+40.06+39.58+39.29+39.52+39.51+39.56+39.99+40.75+41.23+40+40.02+40.43+41.67+40.38+40.3+39.44+39.38+39.67+39.52+39.5+39.33+39.51+39.47+39.37+39.72+39.49+39.79+39.51+39.47+39.36+39.59+40.07+40.09+39.75+39.69+39.56+39.69)/55</f>
        <v>39.842181818181821</v>
      </c>
      <c r="H13" s="130">
        <v>5</v>
      </c>
      <c r="I13" s="149">
        <f>G13-F13</f>
        <v>0.55218181818182188</v>
      </c>
      <c r="J13" s="150">
        <v>8.4201388888888895E-2</v>
      </c>
      <c r="K13" s="173">
        <f>J13-J12</f>
        <v>2.5509259259259266E-2</v>
      </c>
      <c r="L13" s="150">
        <f>K13+K10</f>
        <v>3.6747685185185196E-2</v>
      </c>
      <c r="M13" s="135"/>
      <c r="N13" s="136">
        <v>10</v>
      </c>
      <c r="O13" s="12" t="s">
        <v>173</v>
      </c>
    </row>
    <row r="14" spans="1:16" s="12" customFormat="1" ht="30" customHeight="1" x14ac:dyDescent="0.25">
      <c r="A14" s="151"/>
      <c r="B14" s="152"/>
      <c r="C14" s="153"/>
      <c r="D14" s="153"/>
      <c r="E14" s="153"/>
      <c r="F14" s="154">
        <f>AVERAGE(F10,F13)</f>
        <v>39.405000000000001</v>
      </c>
      <c r="G14" s="171">
        <f>AVERAGE(G10,G13)</f>
        <v>40.093471861471869</v>
      </c>
      <c r="H14" s="171" t="s">
        <v>130</v>
      </c>
      <c r="I14" s="156">
        <f>AVERAGE(I10,I13)</f>
        <v>0.6884718614718679</v>
      </c>
      <c r="J14" s="153"/>
      <c r="K14" s="153"/>
      <c r="L14" s="153"/>
      <c r="M14" s="157"/>
      <c r="N14" s="157"/>
    </row>
    <row r="15" spans="1:16" ht="27.75" customHeight="1" x14ac:dyDescent="0.25">
      <c r="A15" s="158"/>
      <c r="B15" s="158"/>
      <c r="C15" s="158"/>
      <c r="D15" s="159"/>
      <c r="E15" s="160"/>
      <c r="F15" s="161">
        <f>AVERAGE(F11:F12)</f>
        <v>39.79</v>
      </c>
      <c r="G15" s="162">
        <f>AVERAGE(G11:G12)</f>
        <v>40.279672619047624</v>
      </c>
      <c r="H15" s="162" t="s">
        <v>131</v>
      </c>
      <c r="I15" s="163">
        <f>AVERAGE(I11:I12)</f>
        <v>0.48967261904762438</v>
      </c>
      <c r="J15" s="160"/>
      <c r="K15" s="160" t="s">
        <v>38</v>
      </c>
      <c r="L15" s="160"/>
      <c r="M15" s="157"/>
      <c r="N15" s="157"/>
    </row>
    <row r="16" spans="1:16" ht="30" customHeight="1" thickBot="1" x14ac:dyDescent="0.3">
      <c r="A16" s="164"/>
      <c r="B16" s="164"/>
      <c r="C16" s="164"/>
      <c r="D16" s="160"/>
      <c r="E16" s="160"/>
      <c r="F16" s="165">
        <f>AVERAGE(F10:F13)</f>
        <v>39.597499999999997</v>
      </c>
      <c r="G16" s="166">
        <f>AVERAGE(G10:G13)</f>
        <v>40.186572240259743</v>
      </c>
      <c r="H16" s="167"/>
      <c r="I16" s="168">
        <f>AVERAGE(I10:I13)</f>
        <v>0.58907224025974614</v>
      </c>
      <c r="J16" s="160"/>
      <c r="K16" s="160"/>
      <c r="L16" s="160"/>
      <c r="M16" s="164"/>
      <c r="N16" s="164"/>
    </row>
    <row r="19" spans="13:14" x14ac:dyDescent="0.25">
      <c r="M19" s="4"/>
      <c r="N19" s="4"/>
    </row>
    <row r="20" spans="13:14" x14ac:dyDescent="0.25">
      <c r="M20" s="12"/>
      <c r="N20" s="12"/>
    </row>
    <row r="21" spans="13:14" x14ac:dyDescent="0.25">
      <c r="M21" s="12"/>
      <c r="N21" s="12"/>
    </row>
    <row r="22" spans="13:14" x14ac:dyDescent="0.25">
      <c r="M22" s="12"/>
      <c r="N22" s="1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22"/>
  <sheetViews>
    <sheetView zoomScale="75" zoomScaleNormal="75" workbookViewId="0">
      <selection activeCell="F13" sqref="F13"/>
    </sheetView>
  </sheetViews>
  <sheetFormatPr defaultRowHeight="15" x14ac:dyDescent="0.25"/>
  <cols>
    <col min="1" max="1" width="8.7109375" style="2" customWidth="1"/>
    <col min="2" max="2" width="30.7109375" style="2" customWidth="1"/>
    <col min="3" max="3" width="9.42578125" style="2" customWidth="1"/>
    <col min="4" max="6" width="9.42578125" style="4" customWidth="1"/>
    <col min="7" max="7" width="11.28515625" style="4" customWidth="1"/>
    <col min="8" max="8" width="12.85546875" style="4" customWidth="1"/>
    <col min="9" max="9" width="13.5703125" style="4" customWidth="1"/>
    <col min="10" max="10" width="13" style="4" customWidth="1"/>
    <col min="11" max="11" width="12" style="4" customWidth="1"/>
    <col min="12" max="12" width="15.85546875" style="4" customWidth="1"/>
    <col min="13" max="13" width="11.42578125" style="2" customWidth="1"/>
    <col min="14" max="14" width="22.28515625" style="2" customWidth="1"/>
    <col min="15" max="16384" width="9.140625" style="2"/>
  </cols>
  <sheetData>
    <row r="4" spans="1:16" ht="18.75" x14ac:dyDescent="0.3">
      <c r="A4" s="109" t="s">
        <v>80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6" ht="7.5" customHeight="1" x14ac:dyDescent="0.25"/>
    <row r="6" spans="1:16" ht="17.25" x14ac:dyDescent="0.3">
      <c r="A6" s="3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6" ht="7.5" customHeight="1" x14ac:dyDescent="0.25"/>
    <row r="8" spans="1:16" s="4" customFormat="1" ht="20.25" customHeight="1" x14ac:dyDescent="0.25">
      <c r="A8" s="110" t="s">
        <v>62</v>
      </c>
      <c r="B8" s="111" t="s">
        <v>57</v>
      </c>
      <c r="C8" s="112" t="s">
        <v>52</v>
      </c>
      <c r="D8" s="111" t="s">
        <v>63</v>
      </c>
      <c r="E8" s="113" t="s">
        <v>64</v>
      </c>
      <c r="F8" s="114" t="s">
        <v>65</v>
      </c>
      <c r="G8" s="115"/>
      <c r="H8" s="115"/>
      <c r="I8" s="116"/>
      <c r="J8" s="117" t="s">
        <v>66</v>
      </c>
      <c r="K8" s="110" t="s">
        <v>67</v>
      </c>
      <c r="L8" s="110"/>
      <c r="M8" s="118"/>
      <c r="N8" s="118"/>
    </row>
    <row r="9" spans="1:16" s="4" customFormat="1" ht="27.75" customHeight="1" x14ac:dyDescent="0.25">
      <c r="A9" s="110"/>
      <c r="B9" s="111"/>
      <c r="C9" s="119"/>
      <c r="D9" s="111"/>
      <c r="E9" s="120"/>
      <c r="F9" s="121" t="s">
        <v>68</v>
      </c>
      <c r="G9" s="121" t="s">
        <v>69</v>
      </c>
      <c r="H9" s="121" t="s">
        <v>70</v>
      </c>
      <c r="I9" s="122" t="s">
        <v>71</v>
      </c>
      <c r="J9" s="123"/>
      <c r="K9" s="124" t="s">
        <v>72</v>
      </c>
      <c r="L9" s="124" t="s">
        <v>73</v>
      </c>
      <c r="M9" s="125" t="s">
        <v>74</v>
      </c>
      <c r="N9" s="125" t="s">
        <v>75</v>
      </c>
    </row>
    <row r="10" spans="1:16" s="12" customFormat="1" ht="30" customHeight="1" thickBot="1" x14ac:dyDescent="0.3">
      <c r="A10" s="126">
        <v>1</v>
      </c>
      <c r="B10" s="127" t="s">
        <v>21</v>
      </c>
      <c r="C10" s="128">
        <v>10</v>
      </c>
      <c r="D10" s="128">
        <v>24</v>
      </c>
      <c r="E10" s="129">
        <f>D10</f>
        <v>24</v>
      </c>
      <c r="F10" s="148">
        <v>40.19</v>
      </c>
      <c r="G10" s="131">
        <f>(41.57+41.04+41.5+44.32+41.6+40.23+40.28+39.95+40.5+40.38+40.37+40.22+40.19+39.85+40.55+40.78+40.4+40.45+40.74+42.77+40.25+40.34+40.49)/23</f>
        <v>40.816086956521737</v>
      </c>
      <c r="H10" s="130">
        <v>4</v>
      </c>
      <c r="I10" s="132">
        <f>G10-F10</f>
        <v>0.62608695652173907</v>
      </c>
      <c r="J10" s="133">
        <v>1.2349537037037039E-2</v>
      </c>
      <c r="K10" s="133">
        <f>J10</f>
        <v>1.2349537037037039E-2</v>
      </c>
      <c r="L10" s="134">
        <f>K10</f>
        <v>1.2349537037037039E-2</v>
      </c>
      <c r="M10" s="135" t="s">
        <v>142</v>
      </c>
      <c r="N10" s="136">
        <v>-8</v>
      </c>
      <c r="O10" s="201" t="s">
        <v>76</v>
      </c>
      <c r="P10" s="202"/>
    </row>
    <row r="11" spans="1:16" s="12" customFormat="1" ht="30" customHeight="1" thickBot="1" x14ac:dyDescent="0.3">
      <c r="A11" s="126">
        <v>2</v>
      </c>
      <c r="B11" s="127" t="s">
        <v>21</v>
      </c>
      <c r="C11" s="128">
        <v>2</v>
      </c>
      <c r="D11" s="128">
        <v>88</v>
      </c>
      <c r="E11" s="129">
        <f>D11-D10</f>
        <v>64</v>
      </c>
      <c r="F11" s="224">
        <v>39.659999999999997</v>
      </c>
      <c r="G11" s="222">
        <f>(40.83+40.43+40.4+40.03+39.78+40.13+39.85+40.13+39.92+39.95+40.56+39.82+39.78+41.34+40.04+40.04+40.4+40+39.93+39.69+39.94+39.66+40.01+39.88+40.4+39.87+39.76+39.77+39.71+40.66+41.46+41.31+41.01+40.79+40.01+40.11+40.77+39.83+39.93+40.09+39.9+39.69+39.66+39.81+39.76+40.03+40.67+39.87+40.37+39.97+39.98+39.79+39.98+39.82+40.07+40.04+39.93+39.98+40.13+40.59+40.22+40.25+40.5)/63</f>
        <v>40.143333333333338</v>
      </c>
      <c r="H11" s="130">
        <v>6</v>
      </c>
      <c r="I11" s="132">
        <f>G11-F11</f>
        <v>0.48333333333334139</v>
      </c>
      <c r="J11" s="133">
        <v>4.3182870370370365E-2</v>
      </c>
      <c r="K11" s="133">
        <f>J11-J10</f>
        <v>3.0833333333333324E-2</v>
      </c>
      <c r="L11" s="133">
        <f>K11+K10</f>
        <v>4.3182870370370365E-2</v>
      </c>
      <c r="M11" s="135" t="s">
        <v>180</v>
      </c>
      <c r="N11" s="136">
        <v>5</v>
      </c>
      <c r="O11" s="201" t="s">
        <v>181</v>
      </c>
      <c r="P11" s="202"/>
    </row>
    <row r="12" spans="1:16" s="12" customFormat="1" ht="30" customHeight="1" thickBot="1" x14ac:dyDescent="0.3">
      <c r="A12" s="126">
        <v>3</v>
      </c>
      <c r="B12" s="127" t="s">
        <v>45</v>
      </c>
      <c r="C12" s="128">
        <v>6</v>
      </c>
      <c r="D12" s="128">
        <v>127</v>
      </c>
      <c r="E12" s="129">
        <f>D12-D11</f>
        <v>39</v>
      </c>
      <c r="F12" s="223">
        <v>40.090000000000003</v>
      </c>
      <c r="G12" s="131">
        <f>(41.79+40.56+40.68+41.71+40.37+40.42+40.68+40.83+40.42+40.12+40.74+40.65+41.13+40.2+40.2+40.34+40.55+40.1+40.1+40.22+40.47+40.35+40.25+40.37+40.42+40.82+40.37+40.13+40.22+40.18+40.34+40.43+40.32+40.25+40.09+41.42+41.17+40.47)/38</f>
        <v>40.523157894736848</v>
      </c>
      <c r="H12" s="130">
        <v>5</v>
      </c>
      <c r="I12" s="132">
        <f>G12-F12</f>
        <v>0.43315789473684418</v>
      </c>
      <c r="J12" s="133">
        <v>6.2604166666666669E-2</v>
      </c>
      <c r="K12" s="133">
        <f>J12-J11</f>
        <v>1.9421296296296305E-2</v>
      </c>
      <c r="L12" s="134">
        <f>K12</f>
        <v>1.9421296296296305E-2</v>
      </c>
      <c r="M12" s="135" t="s">
        <v>155</v>
      </c>
      <c r="N12" s="136"/>
      <c r="O12" s="41"/>
    </row>
    <row r="13" spans="1:16" s="12" customFormat="1" ht="30" customHeight="1" thickBot="1" x14ac:dyDescent="0.3">
      <c r="A13" s="143" t="s">
        <v>77</v>
      </c>
      <c r="B13" s="144" t="s">
        <v>45</v>
      </c>
      <c r="C13" s="145">
        <v>33</v>
      </c>
      <c r="D13" s="145">
        <v>173</v>
      </c>
      <c r="E13" s="129">
        <f>D13-D12</f>
        <v>46</v>
      </c>
      <c r="F13" s="169">
        <v>39.409999999999997</v>
      </c>
      <c r="G13" s="142">
        <f>(41.07+40.91+40.18+40.18+39.76+39.54+39.7+39.53+39.41+39.81+39.61+39.6+41.83+39.7+40.07+39.7+40.63+39.6+41.45+40.1+39.52+39.78+39.56+39.78+40.32+39.63+39.61+39.69+39.55+39.63+39.61+39.69+40.21+39.63+39.55+40.13+39.53+39.49+39.67+39.95+39.45+39.7+39.67+39.67+39.91+39.82)/46</f>
        <v>39.894130434782625</v>
      </c>
      <c r="H13" s="130">
        <v>2</v>
      </c>
      <c r="I13" s="149">
        <f>G13-F13</f>
        <v>0.48413043478262807</v>
      </c>
      <c r="J13" s="150">
        <v>8.3854166666666674E-2</v>
      </c>
      <c r="K13" s="173">
        <f>J13-J12</f>
        <v>2.1250000000000005E-2</v>
      </c>
      <c r="L13" s="150">
        <f>K13+K12</f>
        <v>4.067129629629631E-2</v>
      </c>
      <c r="M13" s="135"/>
      <c r="N13" s="136"/>
    </row>
    <row r="14" spans="1:16" s="12" customFormat="1" ht="30" customHeight="1" x14ac:dyDescent="0.25">
      <c r="A14" s="151"/>
      <c r="B14" s="152"/>
      <c r="C14" s="153"/>
      <c r="D14" s="153"/>
      <c r="E14" s="153"/>
      <c r="F14" s="154">
        <f>AVERAGE(F10:F11)</f>
        <v>39.924999999999997</v>
      </c>
      <c r="G14" s="171">
        <f>AVERAGE(G10:G11)</f>
        <v>40.479710144927537</v>
      </c>
      <c r="H14" s="171" t="s">
        <v>79</v>
      </c>
      <c r="I14" s="156">
        <f>AVERAGE(I10:I11)</f>
        <v>0.55471014492754023</v>
      </c>
      <c r="J14" s="153"/>
      <c r="K14" s="153"/>
      <c r="L14" s="153"/>
      <c r="M14" s="157"/>
      <c r="N14" s="157"/>
    </row>
    <row r="15" spans="1:16" ht="27.75" customHeight="1" x14ac:dyDescent="0.25">
      <c r="A15" s="158"/>
      <c r="B15" s="158"/>
      <c r="C15" s="158"/>
      <c r="D15" s="159"/>
      <c r="E15" s="160"/>
      <c r="F15" s="161">
        <f>AVERAGE(F12:F13)</f>
        <v>39.75</v>
      </c>
      <c r="G15" s="162">
        <f>AVERAGE(G12:G13)</f>
        <v>40.208644164759733</v>
      </c>
      <c r="H15" s="162" t="s">
        <v>121</v>
      </c>
      <c r="I15" s="163">
        <f>AVERAGE(I12:I13)</f>
        <v>0.45864416475973613</v>
      </c>
      <c r="J15" s="160"/>
      <c r="K15" s="160" t="s">
        <v>38</v>
      </c>
      <c r="L15" s="160"/>
      <c r="M15" s="157"/>
      <c r="N15" s="157"/>
    </row>
    <row r="16" spans="1:16" ht="30" customHeight="1" thickBot="1" x14ac:dyDescent="0.3">
      <c r="A16" s="164"/>
      <c r="B16" s="164"/>
      <c r="C16" s="164"/>
      <c r="D16" s="160"/>
      <c r="E16" s="160"/>
      <c r="F16" s="165">
        <f>AVERAGE(F10:F13)</f>
        <v>39.837499999999999</v>
      </c>
      <c r="G16" s="166">
        <f>AVERAGE(G10:G13)</f>
        <v>40.344177154843635</v>
      </c>
      <c r="H16" s="167"/>
      <c r="I16" s="168">
        <f>AVERAGE(I10:I13)</f>
        <v>0.50667715484363818</v>
      </c>
      <c r="J16" s="160"/>
      <c r="K16" s="160"/>
      <c r="L16" s="160"/>
      <c r="M16" s="164"/>
      <c r="N16" s="164"/>
    </row>
    <row r="19" spans="13:14" x14ac:dyDescent="0.25">
      <c r="M19" s="4"/>
      <c r="N19" s="4"/>
    </row>
    <row r="20" spans="13:14" x14ac:dyDescent="0.25">
      <c r="M20" s="12"/>
      <c r="N20" s="12"/>
    </row>
    <row r="21" spans="13:14" x14ac:dyDescent="0.25">
      <c r="M21" s="12"/>
      <c r="N21" s="12"/>
    </row>
    <row r="22" spans="13:14" x14ac:dyDescent="0.25">
      <c r="M22" s="12"/>
      <c r="N22" s="1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22"/>
  <sheetViews>
    <sheetView zoomScale="75" zoomScaleNormal="75" workbookViewId="0">
      <selection activeCell="I25" sqref="I25"/>
    </sheetView>
  </sheetViews>
  <sheetFormatPr defaultRowHeight="15" x14ac:dyDescent="0.25"/>
  <cols>
    <col min="1" max="1" width="8.7109375" style="2" customWidth="1"/>
    <col min="2" max="2" width="30.7109375" style="2" customWidth="1"/>
    <col min="3" max="3" width="9.42578125" style="2" customWidth="1"/>
    <col min="4" max="6" width="9.42578125" style="4" customWidth="1"/>
    <col min="7" max="7" width="11.28515625" style="4" customWidth="1"/>
    <col min="8" max="8" width="12.85546875" style="4" customWidth="1"/>
    <col min="9" max="9" width="13.5703125" style="4" customWidth="1"/>
    <col min="10" max="10" width="13" style="4" customWidth="1"/>
    <col min="11" max="11" width="12" style="4" customWidth="1"/>
    <col min="12" max="12" width="15.85546875" style="4" customWidth="1"/>
    <col min="13" max="13" width="11.42578125" style="2" customWidth="1"/>
    <col min="14" max="14" width="22.28515625" style="2" customWidth="1"/>
    <col min="15" max="16384" width="9.140625" style="2"/>
  </cols>
  <sheetData>
    <row r="4" spans="1:16" ht="18.75" x14ac:dyDescent="0.3">
      <c r="A4" s="109" t="s">
        <v>80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6" ht="7.5" customHeight="1" x14ac:dyDescent="0.25"/>
    <row r="6" spans="1:16" ht="17.25" x14ac:dyDescent="0.3">
      <c r="A6" s="3" t="s">
        <v>15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6" ht="7.5" customHeight="1" x14ac:dyDescent="0.25"/>
    <row r="8" spans="1:16" s="4" customFormat="1" ht="20.25" customHeight="1" x14ac:dyDescent="0.25">
      <c r="A8" s="110" t="s">
        <v>62</v>
      </c>
      <c r="B8" s="111" t="s">
        <v>57</v>
      </c>
      <c r="C8" s="112" t="s">
        <v>52</v>
      </c>
      <c r="D8" s="111" t="s">
        <v>63</v>
      </c>
      <c r="E8" s="113" t="s">
        <v>64</v>
      </c>
      <c r="F8" s="114" t="s">
        <v>65</v>
      </c>
      <c r="G8" s="115"/>
      <c r="H8" s="115"/>
      <c r="I8" s="116"/>
      <c r="J8" s="117" t="s">
        <v>66</v>
      </c>
      <c r="K8" s="110" t="s">
        <v>67</v>
      </c>
      <c r="L8" s="110"/>
      <c r="M8" s="118"/>
      <c r="N8" s="118"/>
    </row>
    <row r="9" spans="1:16" s="4" customFormat="1" ht="27.75" customHeight="1" x14ac:dyDescent="0.25">
      <c r="A9" s="110"/>
      <c r="B9" s="111"/>
      <c r="C9" s="119"/>
      <c r="D9" s="111"/>
      <c r="E9" s="120"/>
      <c r="F9" s="121" t="s">
        <v>68</v>
      </c>
      <c r="G9" s="121" t="s">
        <v>69</v>
      </c>
      <c r="H9" s="121" t="s">
        <v>70</v>
      </c>
      <c r="I9" s="122" t="s">
        <v>71</v>
      </c>
      <c r="J9" s="123"/>
      <c r="K9" s="124" t="s">
        <v>72</v>
      </c>
      <c r="L9" s="124" t="s">
        <v>73</v>
      </c>
      <c r="M9" s="125" t="s">
        <v>74</v>
      </c>
      <c r="N9" s="125" t="s">
        <v>75</v>
      </c>
    </row>
    <row r="10" spans="1:16" s="12" customFormat="1" ht="30" customHeight="1" x14ac:dyDescent="0.25">
      <c r="A10" s="126">
        <v>1</v>
      </c>
      <c r="B10" s="127" t="s">
        <v>32</v>
      </c>
      <c r="C10" s="128">
        <v>3</v>
      </c>
      <c r="D10" s="128">
        <v>43</v>
      </c>
      <c r="E10" s="129">
        <f>D10</f>
        <v>43</v>
      </c>
      <c r="F10" s="130">
        <v>39.479999999999997</v>
      </c>
      <c r="G10" s="131">
        <f>(41.78+41.45+40.76+41.83+40.28+42.15+39.99+39.79+39.94+39.48+39.94+40.08+40.95+39.55+40.25+40.2+41.43+39.88+41.78+39.73+40.16+39.81+40.06+39.9+40.05+39.88+40.08+39.64+39.88+39.75+39.69+40.03+39.79+39.81+40.67+40.29+39.89+39.82+40.02+39.75+39.73+39.89)/42</f>
        <v>40.234047619047622</v>
      </c>
      <c r="H10" s="130">
        <v>1</v>
      </c>
      <c r="I10" s="132">
        <f>G10-F10</f>
        <v>0.75404761904762552</v>
      </c>
      <c r="J10" s="133">
        <v>2.0983796296296296E-2</v>
      </c>
      <c r="K10" s="133">
        <f>J10</f>
        <v>2.0983796296296296E-2</v>
      </c>
      <c r="L10" s="134">
        <f>K10</f>
        <v>2.0983796296296296E-2</v>
      </c>
      <c r="M10" s="135" t="s">
        <v>118</v>
      </c>
      <c r="N10" s="136">
        <v>-12</v>
      </c>
      <c r="O10" s="201" t="s">
        <v>76</v>
      </c>
      <c r="P10" s="202"/>
    </row>
    <row r="11" spans="1:16" s="12" customFormat="1" ht="30" customHeight="1" thickBot="1" x14ac:dyDescent="0.3">
      <c r="A11" s="126">
        <v>2</v>
      </c>
      <c r="B11" s="127" t="s">
        <v>97</v>
      </c>
      <c r="C11" s="128">
        <v>8</v>
      </c>
      <c r="D11" s="128">
        <v>64</v>
      </c>
      <c r="E11" s="129">
        <f>D11-D10</f>
        <v>21</v>
      </c>
      <c r="F11" s="139">
        <v>40.19</v>
      </c>
      <c r="G11" s="140">
        <f>(41.89+42.57+40.95+40.97+40.76+41.01+43.61+40.61+41.01+41.67+41.85+41.89+41.41+40.86+41.55+40.43+40.38+40.49+40.19+40.55)/20</f>
        <v>41.232499999999995</v>
      </c>
      <c r="H11" s="130">
        <v>0</v>
      </c>
      <c r="I11" s="132">
        <f>G11-F11</f>
        <v>1.0424999999999969</v>
      </c>
      <c r="J11" s="133">
        <v>3.2094907407407412E-2</v>
      </c>
      <c r="K11" s="133">
        <f>J11-J10</f>
        <v>1.1111111111111117E-2</v>
      </c>
      <c r="L11" s="133">
        <f>K11</f>
        <v>1.1111111111111117E-2</v>
      </c>
      <c r="M11" s="135" t="s">
        <v>119</v>
      </c>
      <c r="N11" s="136">
        <v>5</v>
      </c>
      <c r="O11" s="201" t="s">
        <v>120</v>
      </c>
      <c r="P11" s="202"/>
    </row>
    <row r="12" spans="1:16" s="12" customFormat="1" ht="30" customHeight="1" thickBot="1" x14ac:dyDescent="0.3">
      <c r="A12" s="126">
        <v>3</v>
      </c>
      <c r="B12" s="127" t="s">
        <v>97</v>
      </c>
      <c r="C12" s="128">
        <v>3</v>
      </c>
      <c r="D12" s="128">
        <v>121</v>
      </c>
      <c r="E12" s="129">
        <f>D12-D11</f>
        <v>57</v>
      </c>
      <c r="F12" s="170">
        <v>40.14</v>
      </c>
      <c r="G12" s="142">
        <f>(41.57+40.57+41.3+41.14+40.95+40.9+41.45+40.47+41.31+40.53+40.62+40.92+40.28+40.89+40.39+41.12+40.95+40.34+40.54+40.48+40.66+40.58+40.44+40.21+40.43+41.57+40.6+40.52+40.18+40.75+40.14+40.67+40.77+42.18+41.76+40.84+42.24+40.77+40.52+40.98+40.31+40.68+40.42+40.6+40.34+40.63+40.8+41+40.3+40.62+40.48+41.74+40.63+40.23+40.36+40.16)/56</f>
        <v>40.76482142857143</v>
      </c>
      <c r="H12" s="130">
        <v>4</v>
      </c>
      <c r="I12" s="132">
        <f>G12-F12</f>
        <v>0.62482142857142975</v>
      </c>
      <c r="J12" s="133">
        <v>6.0057870370370366E-2</v>
      </c>
      <c r="K12" s="133">
        <f>J12-J11</f>
        <v>2.7962962962962953E-2</v>
      </c>
      <c r="L12" s="134">
        <f>K12+K11</f>
        <v>3.9074074074074067E-2</v>
      </c>
      <c r="M12" s="135" t="s">
        <v>161</v>
      </c>
      <c r="N12" s="136"/>
      <c r="O12" s="41"/>
    </row>
    <row r="13" spans="1:16" s="12" customFormat="1" ht="30" customHeight="1" thickBot="1" x14ac:dyDescent="0.3">
      <c r="A13" s="143" t="s">
        <v>77</v>
      </c>
      <c r="B13" s="144" t="s">
        <v>32</v>
      </c>
      <c r="C13" s="145">
        <v>21</v>
      </c>
      <c r="D13" s="145">
        <v>173</v>
      </c>
      <c r="E13" s="129">
        <f>D13-D12</f>
        <v>52</v>
      </c>
      <c r="F13" s="226">
        <v>39.31</v>
      </c>
      <c r="G13" s="147">
        <f>(42.18+40.44+40.05+39.94+39.74+41.25+40.39+39.65+39.48+39.77+39.6+39.53+39.57+39.45+39.69+39.92+40.71+39.73+39.77+39.52+40.04+39.39+39.64+39.91+39.6+39.99+40.43+41.31+39.85+39.35+39.5+39.82+39.59+39.31+39.54+39.49+39.48+39.33+39.44+40.09+39.53+39.91+39.64+39.56+39.45+39.59+40.38+40.57+39.7+39.68+39.59+39.92)/52</f>
        <v>39.865384615384606</v>
      </c>
      <c r="H13" s="148">
        <v>3</v>
      </c>
      <c r="I13" s="149">
        <f>G13-F13</f>
        <v>0.55538461538460382</v>
      </c>
      <c r="J13" s="150">
        <v>8.4097222222222226E-2</v>
      </c>
      <c r="K13" s="173">
        <f>J13-J12</f>
        <v>2.403935185185186E-2</v>
      </c>
      <c r="L13" s="150">
        <f>K13+K10</f>
        <v>4.5023148148148159E-2</v>
      </c>
      <c r="M13" s="135"/>
      <c r="N13" s="136"/>
    </row>
    <row r="14" spans="1:16" s="12" customFormat="1" ht="30" customHeight="1" x14ac:dyDescent="0.25">
      <c r="A14" s="151"/>
      <c r="B14" s="152"/>
      <c r="C14" s="153"/>
      <c r="D14" s="153"/>
      <c r="E14" s="153"/>
      <c r="F14" s="227">
        <f>AVERAGE(F10,F13)</f>
        <v>39.394999999999996</v>
      </c>
      <c r="G14" s="155">
        <f>AVERAGE(G10,G13)</f>
        <v>40.049716117216114</v>
      </c>
      <c r="H14" s="155" t="s">
        <v>32</v>
      </c>
      <c r="I14" s="156">
        <f>AVERAGE(I10,I13)</f>
        <v>0.65471611721611467</v>
      </c>
      <c r="J14" s="153"/>
      <c r="K14" s="153"/>
      <c r="L14" s="153"/>
      <c r="M14" s="157"/>
      <c r="N14" s="157"/>
    </row>
    <row r="15" spans="1:16" ht="27.75" customHeight="1" x14ac:dyDescent="0.25">
      <c r="A15" s="158"/>
      <c r="B15" s="158"/>
      <c r="C15" s="158"/>
      <c r="D15" s="159"/>
      <c r="E15" s="160"/>
      <c r="F15" s="161">
        <f>AVERAGE(F11:F12)</f>
        <v>40.164999999999999</v>
      </c>
      <c r="G15" s="162">
        <f>AVERAGE(G11:G12)</f>
        <v>40.998660714285712</v>
      </c>
      <c r="H15" s="162" t="s">
        <v>136</v>
      </c>
      <c r="I15" s="163">
        <f>AVERAGE(I11:I12)</f>
        <v>0.83366071428571331</v>
      </c>
      <c r="J15" s="160"/>
      <c r="K15" s="160" t="s">
        <v>38</v>
      </c>
      <c r="L15" s="160"/>
      <c r="M15" s="157"/>
      <c r="N15" s="157"/>
    </row>
    <row r="16" spans="1:16" ht="30" customHeight="1" thickBot="1" x14ac:dyDescent="0.3">
      <c r="A16" s="164"/>
      <c r="B16" s="164"/>
      <c r="C16" s="164"/>
      <c r="D16" s="160"/>
      <c r="E16" s="160"/>
      <c r="F16" s="165">
        <f>AVERAGE(F10:F13)</f>
        <v>39.78</v>
      </c>
      <c r="G16" s="166">
        <f>AVERAGE(G10:G13)</f>
        <v>40.524188415750913</v>
      </c>
      <c r="H16" s="167"/>
      <c r="I16" s="168">
        <f>AVERAGE(I10:I13)</f>
        <v>0.74418841575091399</v>
      </c>
      <c r="J16" s="160"/>
      <c r="K16" s="160"/>
      <c r="L16" s="160"/>
      <c r="M16" s="164"/>
      <c r="N16" s="164"/>
    </row>
    <row r="19" spans="13:14" x14ac:dyDescent="0.25">
      <c r="M19" s="4"/>
      <c r="N19" s="4"/>
    </row>
    <row r="20" spans="13:14" x14ac:dyDescent="0.25">
      <c r="M20" s="12"/>
      <c r="N20" s="12"/>
    </row>
    <row r="21" spans="13:14" x14ac:dyDescent="0.25">
      <c r="M21" s="12"/>
      <c r="N21" s="12"/>
    </row>
    <row r="22" spans="13:14" x14ac:dyDescent="0.25">
      <c r="M22" s="12"/>
      <c r="N22" s="1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23"/>
  <sheetViews>
    <sheetView zoomScale="75" zoomScaleNormal="75" workbookViewId="0">
      <selection activeCell="K17" sqref="K17"/>
    </sheetView>
  </sheetViews>
  <sheetFormatPr defaultRowHeight="15" x14ac:dyDescent="0.25"/>
  <cols>
    <col min="1" max="1" width="8.7109375" style="2" customWidth="1"/>
    <col min="2" max="2" width="30.7109375" style="2" customWidth="1"/>
    <col min="3" max="3" width="9.42578125" style="2" customWidth="1"/>
    <col min="4" max="6" width="9.42578125" style="4" customWidth="1"/>
    <col min="7" max="7" width="11.28515625" style="4" customWidth="1"/>
    <col min="8" max="8" width="12.85546875" style="4" customWidth="1"/>
    <col min="9" max="9" width="13.5703125" style="4" customWidth="1"/>
    <col min="10" max="10" width="13" style="4" customWidth="1"/>
    <col min="11" max="11" width="12" style="4" customWidth="1"/>
    <col min="12" max="12" width="15.85546875" style="4" customWidth="1"/>
    <col min="13" max="13" width="11.42578125" style="2" customWidth="1"/>
    <col min="14" max="14" width="22.28515625" style="2" customWidth="1"/>
    <col min="15" max="16384" width="9.140625" style="2"/>
  </cols>
  <sheetData>
    <row r="4" spans="1:16" ht="18.75" x14ac:dyDescent="0.3">
      <c r="A4" s="109" t="s">
        <v>80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6" ht="7.5" customHeight="1" x14ac:dyDescent="0.25"/>
    <row r="6" spans="1:16" ht="17.25" x14ac:dyDescent="0.3">
      <c r="A6" s="3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6" ht="7.5" customHeight="1" x14ac:dyDescent="0.25"/>
    <row r="8" spans="1:16" s="4" customFormat="1" ht="20.25" customHeight="1" x14ac:dyDescent="0.25">
      <c r="A8" s="110" t="s">
        <v>62</v>
      </c>
      <c r="B8" s="111" t="s">
        <v>57</v>
      </c>
      <c r="C8" s="112" t="s">
        <v>52</v>
      </c>
      <c r="D8" s="111" t="s">
        <v>63</v>
      </c>
      <c r="E8" s="113" t="s">
        <v>64</v>
      </c>
      <c r="F8" s="114" t="s">
        <v>65</v>
      </c>
      <c r="G8" s="115"/>
      <c r="H8" s="115"/>
      <c r="I8" s="116"/>
      <c r="J8" s="117" t="s">
        <v>66</v>
      </c>
      <c r="K8" s="110" t="s">
        <v>67</v>
      </c>
      <c r="L8" s="110"/>
      <c r="M8" s="118"/>
      <c r="N8" s="118"/>
    </row>
    <row r="9" spans="1:16" s="4" customFormat="1" ht="27.75" customHeight="1" x14ac:dyDescent="0.25">
      <c r="A9" s="110"/>
      <c r="B9" s="111"/>
      <c r="C9" s="119"/>
      <c r="D9" s="111"/>
      <c r="E9" s="120"/>
      <c r="F9" s="121" t="s">
        <v>68</v>
      </c>
      <c r="G9" s="121" t="s">
        <v>69</v>
      </c>
      <c r="H9" s="121" t="s">
        <v>70</v>
      </c>
      <c r="I9" s="122" t="s">
        <v>71</v>
      </c>
      <c r="J9" s="123"/>
      <c r="K9" s="124" t="s">
        <v>72</v>
      </c>
      <c r="L9" s="124" t="s">
        <v>73</v>
      </c>
      <c r="M9" s="125" t="s">
        <v>74</v>
      </c>
      <c r="N9" s="125" t="s">
        <v>75</v>
      </c>
    </row>
    <row r="10" spans="1:16" s="12" customFormat="1" ht="30" customHeight="1" x14ac:dyDescent="0.25">
      <c r="A10" s="126">
        <v>1</v>
      </c>
      <c r="B10" s="127" t="s">
        <v>90</v>
      </c>
      <c r="C10" s="128">
        <v>8</v>
      </c>
      <c r="D10" s="128">
        <v>38</v>
      </c>
      <c r="E10" s="129">
        <f>D10</f>
        <v>38</v>
      </c>
      <c r="F10" s="130">
        <v>40.11</v>
      </c>
      <c r="G10" s="131">
        <f>(42.93+40.87+41.26+42.38+42.18+40.6+40.87+40.35+40.4+40.61+40.76+40.51+40.25+40.89+40.97+40.51+40.28+40.77+40.59+40.8+40.88+41.32+40.66+40.34+40.11+40.74+40.9+41+40.75+40.57+40.88+40.96+40.33+40.46+40.64+40.76+40.53)/37</f>
        <v>40.827297297297299</v>
      </c>
      <c r="H10" s="130">
        <v>0</v>
      </c>
      <c r="I10" s="132">
        <f>G10-F10</f>
        <v>0.71729729729729996</v>
      </c>
      <c r="J10" s="133">
        <v>1.9016203703703705E-2</v>
      </c>
      <c r="K10" s="133">
        <f>J10</f>
        <v>1.9016203703703705E-2</v>
      </c>
      <c r="L10" s="134">
        <f>K10</f>
        <v>1.9016203703703705E-2</v>
      </c>
      <c r="M10" s="135" t="s">
        <v>144</v>
      </c>
      <c r="N10" s="136"/>
      <c r="O10" s="137"/>
      <c r="P10" s="138"/>
    </row>
    <row r="11" spans="1:16" s="12" customFormat="1" ht="30" customHeight="1" thickBot="1" x14ac:dyDescent="0.3">
      <c r="A11" s="126">
        <v>2</v>
      </c>
      <c r="B11" s="127" t="s">
        <v>41</v>
      </c>
      <c r="C11" s="128">
        <v>9</v>
      </c>
      <c r="D11" s="128">
        <v>89</v>
      </c>
      <c r="E11" s="129">
        <f>D11-D10</f>
        <v>51</v>
      </c>
      <c r="F11" s="139">
        <v>39.68</v>
      </c>
      <c r="G11" s="140">
        <f>(41.44+40.36+40.8+40.48+40.09+39.88+40.85+42.67+40.24+39.88+40.46+40.08+39.94+40.03+40.2+40.36+40.15+40.33+40.12+39.98+40.39+40.1+41.49+40.55+40.3+40.15+40.14+40.14+40.36+39.92+39.9+41.11+40.69+39.99+39.74+40.2+39.68+40.36+40.1+40+40+40.17+40.22+40.28+39.91+40.29+39.89+40.14+39.9+40.36)/50</f>
        <v>40.296200000000006</v>
      </c>
      <c r="H11" s="130">
        <v>1</v>
      </c>
      <c r="I11" s="132">
        <f>G11-F11</f>
        <v>0.6162000000000063</v>
      </c>
      <c r="J11" s="133">
        <v>4.3900462962962961E-2</v>
      </c>
      <c r="K11" s="133">
        <f>J11-J10</f>
        <v>2.4884259259259255E-2</v>
      </c>
      <c r="L11" s="133">
        <f>K11</f>
        <v>2.4884259259259255E-2</v>
      </c>
      <c r="M11" s="135" t="s">
        <v>176</v>
      </c>
      <c r="N11" s="136"/>
      <c r="O11" s="137"/>
      <c r="P11" s="138"/>
    </row>
    <row r="12" spans="1:16" s="12" customFormat="1" ht="30" customHeight="1" thickBot="1" x14ac:dyDescent="0.3">
      <c r="A12" s="235">
        <v>3</v>
      </c>
      <c r="B12" s="237" t="s">
        <v>90</v>
      </c>
      <c r="C12" s="128">
        <v>33</v>
      </c>
      <c r="D12" s="128">
        <v>118</v>
      </c>
      <c r="E12" s="129">
        <f t="shared" ref="E12:E14" si="0">D12-D11</f>
        <v>29</v>
      </c>
      <c r="F12" s="245">
        <v>39.76</v>
      </c>
      <c r="G12" s="222">
        <f>(41.76+40.43+40.27+40.48+39.8+40.07+40.3+40.15+43.39+41.4+40.29+40.27+40.18+40.25+39.76+40.14+39.99+40.1+40.15+39.94+39.91+43.02+41.62+40.33+40.1+40.09+40.15+40.16)/28</f>
        <v>40.517857142857146</v>
      </c>
      <c r="H12" s="130">
        <v>1</v>
      </c>
      <c r="I12" s="132">
        <f t="shared" ref="I12:I13" si="1">G12-F12</f>
        <v>0.75785714285714789</v>
      </c>
      <c r="J12" s="239">
        <v>6.1678240740740742E-2</v>
      </c>
      <c r="K12" s="239">
        <f>J12-J11</f>
        <v>1.7777777777777781E-2</v>
      </c>
      <c r="L12" s="241">
        <f>K12+K10</f>
        <v>3.6793981481481483E-2</v>
      </c>
      <c r="M12" s="243" t="s">
        <v>177</v>
      </c>
      <c r="N12" s="136"/>
      <c r="O12" s="234"/>
      <c r="P12" s="234"/>
    </row>
    <row r="13" spans="1:16" s="12" customFormat="1" ht="30" customHeight="1" thickBot="1" x14ac:dyDescent="0.3">
      <c r="A13" s="236"/>
      <c r="B13" s="238"/>
      <c r="C13" s="206" t="s">
        <v>174</v>
      </c>
      <c r="D13" s="128">
        <v>122</v>
      </c>
      <c r="E13" s="129">
        <f t="shared" si="0"/>
        <v>4</v>
      </c>
      <c r="F13" s="223">
        <v>40.14</v>
      </c>
      <c r="G13" s="131">
        <f>(41.23+40.14+40.61)/3</f>
        <v>40.660000000000004</v>
      </c>
      <c r="H13" s="130">
        <v>0</v>
      </c>
      <c r="I13" s="132">
        <f t="shared" si="1"/>
        <v>0.52000000000000313</v>
      </c>
      <c r="J13" s="240"/>
      <c r="K13" s="240"/>
      <c r="L13" s="242"/>
      <c r="M13" s="244"/>
      <c r="N13" s="136"/>
      <c r="O13" s="41"/>
    </row>
    <row r="14" spans="1:16" s="12" customFormat="1" ht="30" customHeight="1" thickBot="1" x14ac:dyDescent="0.3">
      <c r="A14" s="143" t="s">
        <v>77</v>
      </c>
      <c r="B14" s="144" t="s">
        <v>41</v>
      </c>
      <c r="C14" s="207" t="s">
        <v>137</v>
      </c>
      <c r="D14" s="145">
        <v>170</v>
      </c>
      <c r="E14" s="129">
        <f t="shared" si="0"/>
        <v>48</v>
      </c>
      <c r="F14" s="146">
        <v>39.909999999999997</v>
      </c>
      <c r="G14" s="142">
        <f>(41.69+40.43+40.43+40.9+40.46+40.53+40.19+40.78+40.32+40.62+40.3+40.39+40.11+40.6+40.41+40.23+40.33+40.61+40.64+40.49+40.33+40.35+40.26+40.58+40.29+40.27+40.39+40.34+40.28+40.34+40.23+40.78+40.35+39.91+40.58+40.36+40.33+40.77+40.58+40.59+40.52+40.05+40.27+40.61+40.52+40.37+40.05+40.55)/48</f>
        <v>40.44395833333332</v>
      </c>
      <c r="H14" s="130">
        <v>0</v>
      </c>
      <c r="I14" s="149">
        <f>G14-F14</f>
        <v>0.53395833333332376</v>
      </c>
      <c r="J14" s="150">
        <v>8.4155092592592587E-2</v>
      </c>
      <c r="K14" s="173">
        <f>J14-J12</f>
        <v>2.2476851851851845E-2</v>
      </c>
      <c r="L14" s="150">
        <f>K14+K11</f>
        <v>4.7361111111111104E-2</v>
      </c>
      <c r="M14" s="135"/>
      <c r="N14" s="136">
        <v>-100</v>
      </c>
      <c r="O14" s="12" t="s">
        <v>175</v>
      </c>
    </row>
    <row r="15" spans="1:16" s="12" customFormat="1" ht="30" customHeight="1" x14ac:dyDescent="0.25">
      <c r="A15" s="151"/>
      <c r="B15" s="152"/>
      <c r="C15" s="153"/>
      <c r="D15" s="153"/>
      <c r="E15" s="153"/>
      <c r="F15" s="154">
        <f>AVERAGE(F10,F12,F13)</f>
        <v>40.003333333333337</v>
      </c>
      <c r="G15" s="171">
        <f>AVERAGE(G10,G12,G13)</f>
        <v>40.668384813384819</v>
      </c>
      <c r="H15" s="171" t="s">
        <v>128</v>
      </c>
      <c r="I15" s="156">
        <f>AVERAGE(I10,I12,I13)</f>
        <v>0.66505148005148362</v>
      </c>
      <c r="J15" s="153"/>
      <c r="K15" s="153"/>
      <c r="L15" s="153"/>
      <c r="M15" s="157"/>
      <c r="N15" s="157"/>
    </row>
    <row r="16" spans="1:16" ht="27.75" customHeight="1" x14ac:dyDescent="0.25">
      <c r="A16" s="158"/>
      <c r="B16" s="158"/>
      <c r="C16" s="158"/>
      <c r="D16" s="159"/>
      <c r="E16" s="160"/>
      <c r="F16" s="161">
        <f>AVERAGE(F11,F14)</f>
        <v>39.795000000000002</v>
      </c>
      <c r="G16" s="162">
        <f>AVERAGE(G11,G14)</f>
        <v>40.370079166666663</v>
      </c>
      <c r="H16" s="162" t="s">
        <v>129</v>
      </c>
      <c r="I16" s="163">
        <f>AVERAGE(I11,I14)</f>
        <v>0.57507916666666503</v>
      </c>
      <c r="J16" s="160"/>
      <c r="K16" s="160" t="s">
        <v>38</v>
      </c>
      <c r="L16" s="160"/>
      <c r="M16" s="157"/>
      <c r="N16" s="157"/>
    </row>
    <row r="17" spans="1:14" ht="30" customHeight="1" thickBot="1" x14ac:dyDescent="0.3">
      <c r="A17" s="164"/>
      <c r="B17" s="164"/>
      <c r="C17" s="164"/>
      <c r="D17" s="160"/>
      <c r="E17" s="160"/>
      <c r="F17" s="165">
        <f>AVERAGE(F10:F14)</f>
        <v>39.92</v>
      </c>
      <c r="G17" s="166">
        <f>AVERAGE(G10:G14)</f>
        <v>40.549062554697556</v>
      </c>
      <c r="H17" s="167"/>
      <c r="I17" s="168">
        <f>AVERAGE(I10:I14)</f>
        <v>0.62906255469755623</v>
      </c>
      <c r="J17" s="160"/>
      <c r="K17" s="160"/>
      <c r="L17" s="160"/>
      <c r="M17" s="164"/>
      <c r="N17" s="164"/>
    </row>
    <row r="20" spans="1:14" x14ac:dyDescent="0.25">
      <c r="M20" s="4"/>
      <c r="N20" s="4"/>
    </row>
    <row r="21" spans="1:14" x14ac:dyDescent="0.25">
      <c r="M21" s="12"/>
      <c r="N21" s="12"/>
    </row>
    <row r="22" spans="1:14" x14ac:dyDescent="0.25">
      <c r="M22" s="12"/>
      <c r="N22" s="12"/>
    </row>
    <row r="23" spans="1:14" x14ac:dyDescent="0.25">
      <c r="M23" s="12"/>
      <c r="N23" s="12"/>
    </row>
  </sheetData>
  <mergeCells count="17">
    <mergeCell ref="O10:P11"/>
    <mergeCell ref="B12:B13"/>
    <mergeCell ref="A12:A13"/>
    <mergeCell ref="J12:J13"/>
    <mergeCell ref="K12:K13"/>
    <mergeCell ref="L12:L13"/>
    <mergeCell ref="M12:M13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22"/>
  <sheetViews>
    <sheetView zoomScale="75" zoomScaleNormal="75" workbookViewId="0">
      <selection activeCell="E17" sqref="E17"/>
    </sheetView>
  </sheetViews>
  <sheetFormatPr defaultRowHeight="15" x14ac:dyDescent="0.25"/>
  <cols>
    <col min="1" max="1" width="8.7109375" style="2" customWidth="1"/>
    <col min="2" max="2" width="30.7109375" style="2" customWidth="1"/>
    <col min="3" max="3" width="9.42578125" style="2" customWidth="1"/>
    <col min="4" max="6" width="9.42578125" style="4" customWidth="1"/>
    <col min="7" max="7" width="11.28515625" style="4" customWidth="1"/>
    <col min="8" max="8" width="12.85546875" style="4" customWidth="1"/>
    <col min="9" max="9" width="13.5703125" style="4" customWidth="1"/>
    <col min="10" max="10" width="13" style="4" customWidth="1"/>
    <col min="11" max="11" width="12" style="4" customWidth="1"/>
    <col min="12" max="12" width="15.85546875" style="4" customWidth="1"/>
    <col min="13" max="13" width="11.42578125" style="2" customWidth="1"/>
    <col min="14" max="14" width="22.28515625" style="2" customWidth="1"/>
    <col min="15" max="16384" width="9.140625" style="2"/>
  </cols>
  <sheetData>
    <row r="4" spans="1:16" ht="18.75" x14ac:dyDescent="0.3">
      <c r="A4" s="109" t="s">
        <v>80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6" ht="7.5" customHeight="1" x14ac:dyDescent="0.25"/>
    <row r="6" spans="1:16" ht="17.25" x14ac:dyDescent="0.3">
      <c r="A6" s="3" t="s">
        <v>110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6" ht="7.5" customHeight="1" x14ac:dyDescent="0.25"/>
    <row r="8" spans="1:16" s="4" customFormat="1" ht="20.25" customHeight="1" x14ac:dyDescent="0.25">
      <c r="A8" s="110" t="s">
        <v>62</v>
      </c>
      <c r="B8" s="111" t="s">
        <v>57</v>
      </c>
      <c r="C8" s="112" t="s">
        <v>52</v>
      </c>
      <c r="D8" s="111" t="s">
        <v>63</v>
      </c>
      <c r="E8" s="113" t="s">
        <v>64</v>
      </c>
      <c r="F8" s="114" t="s">
        <v>65</v>
      </c>
      <c r="G8" s="115"/>
      <c r="H8" s="115"/>
      <c r="I8" s="116"/>
      <c r="J8" s="117" t="s">
        <v>66</v>
      </c>
      <c r="K8" s="110" t="s">
        <v>67</v>
      </c>
      <c r="L8" s="110"/>
      <c r="M8" s="118"/>
      <c r="N8" s="118"/>
    </row>
    <row r="9" spans="1:16" s="4" customFormat="1" ht="27.75" customHeight="1" x14ac:dyDescent="0.25">
      <c r="A9" s="110"/>
      <c r="B9" s="111"/>
      <c r="C9" s="119"/>
      <c r="D9" s="111"/>
      <c r="E9" s="120"/>
      <c r="F9" s="121" t="s">
        <v>68</v>
      </c>
      <c r="G9" s="121" t="s">
        <v>69</v>
      </c>
      <c r="H9" s="121" t="s">
        <v>70</v>
      </c>
      <c r="I9" s="122" t="s">
        <v>71</v>
      </c>
      <c r="J9" s="123"/>
      <c r="K9" s="124" t="s">
        <v>72</v>
      </c>
      <c r="L9" s="124" t="s">
        <v>73</v>
      </c>
      <c r="M9" s="125" t="s">
        <v>74</v>
      </c>
      <c r="N9" s="125" t="s">
        <v>75</v>
      </c>
    </row>
    <row r="10" spans="1:16" s="12" customFormat="1" ht="30" customHeight="1" x14ac:dyDescent="0.25">
      <c r="A10" s="126">
        <v>1</v>
      </c>
      <c r="B10" s="127" t="s">
        <v>28</v>
      </c>
      <c r="C10" s="128">
        <v>69</v>
      </c>
      <c r="D10" s="128">
        <v>41</v>
      </c>
      <c r="E10" s="129">
        <f>D10</f>
        <v>41</v>
      </c>
      <c r="F10" s="130">
        <v>39.549999999999997</v>
      </c>
      <c r="G10" s="131">
        <f>(41.88+41.04+41.93+41.36+40.23+40.12+40.03+39.59+39.91+40.07+39.67+39.69+40.21+39.73+39.55+40.44+39.77+41.19+39.7+39.89+39.9+42.13+40.36+40.17+40.88+39.82+39.97+39.83+39.79+39.87+39.79+39.79+40.06+39.72+40.51+40.67+39.75+40.25+39.65+39.75)/40</f>
        <v>40.216499999999989</v>
      </c>
      <c r="H10" s="130">
        <v>2</v>
      </c>
      <c r="I10" s="132">
        <f>G10-F10</f>
        <v>0.6664999999999921</v>
      </c>
      <c r="J10" s="133">
        <v>2.0011574074074074E-2</v>
      </c>
      <c r="K10" s="133">
        <f>J10</f>
        <v>2.0011574074074074E-2</v>
      </c>
      <c r="L10" s="134">
        <f>K10</f>
        <v>2.0011574074074074E-2</v>
      </c>
      <c r="M10" s="135" t="s">
        <v>141</v>
      </c>
      <c r="N10" s="136">
        <v>-12</v>
      </c>
      <c r="O10" s="201" t="s">
        <v>76</v>
      </c>
      <c r="P10" s="202"/>
    </row>
    <row r="11" spans="1:16" s="12" customFormat="1" ht="30" customHeight="1" thickBot="1" x14ac:dyDescent="0.3">
      <c r="A11" s="126">
        <v>2</v>
      </c>
      <c r="B11" s="127" t="s">
        <v>106</v>
      </c>
      <c r="C11" s="128">
        <v>6</v>
      </c>
      <c r="D11" s="128">
        <v>80</v>
      </c>
      <c r="E11" s="129">
        <f>D11-D10</f>
        <v>39</v>
      </c>
      <c r="F11" s="139">
        <v>40.6</v>
      </c>
      <c r="G11" s="140">
        <f>(42.79+41.28+41.28+41.82+41.91+40.86+40.93+40.81+41.26+41.42+41.73+41.71+41.81+43.01+41.71+42.44+40.69+41.23+41.21+40.81+41.05+40.87+41.12+41.04+40.82+41.41+41.01+41.32+40.82+40.84+41.17+40.95+41.22+40.6+41.19+41.37+41.19+40.84)/38</f>
        <v>41.303684210526306</v>
      </c>
      <c r="H11" s="130">
        <v>1</v>
      </c>
      <c r="I11" s="132">
        <f>G11-F11</f>
        <v>0.70368421052630481</v>
      </c>
      <c r="J11" s="133">
        <v>3.9872685185185185E-2</v>
      </c>
      <c r="K11" s="133">
        <f>J11-J10</f>
        <v>1.9861111111111111E-2</v>
      </c>
      <c r="L11" s="133">
        <f>K11</f>
        <v>1.9861111111111111E-2</v>
      </c>
      <c r="M11" s="135" t="s">
        <v>186</v>
      </c>
      <c r="N11" s="136">
        <v>10</v>
      </c>
      <c r="O11" s="201" t="s">
        <v>185</v>
      </c>
      <c r="P11" s="202"/>
    </row>
    <row r="12" spans="1:16" s="12" customFormat="1" ht="30" customHeight="1" thickBot="1" x14ac:dyDescent="0.3">
      <c r="A12" s="126">
        <v>3</v>
      </c>
      <c r="B12" s="127" t="s">
        <v>28</v>
      </c>
      <c r="C12" s="128">
        <v>7</v>
      </c>
      <c r="D12" s="128">
        <v>137</v>
      </c>
      <c r="E12" s="129">
        <f>D12-D11</f>
        <v>57</v>
      </c>
      <c r="F12" s="141">
        <v>39.520000000000003</v>
      </c>
      <c r="G12" s="142">
        <f>(41.17+40.07+39.87+40.08+40.25+39.92+39.96+39.96+40.07+39.76+40.09+41.04+39.91+39.9+39.98+39.88+39.99+40.01+39.92+39.7+39.85+39.87+39.8+40.33+42.17+40.3+39.98+40+39.65+39.61+40.3+39.98+40.2+41.21+40.36+39.68+39.83+39.84+39.77+39.72+39.83+39.6+39.83+39.78+39.65+40.41+39.54+40.77+39.98+39.61+40.93+39.95+39.73+39.92+39.52+40.27)/56</f>
        <v>40.058928571428567</v>
      </c>
      <c r="H12" s="130">
        <v>5</v>
      </c>
      <c r="I12" s="132">
        <f>G12-F12</f>
        <v>0.53892857142856343</v>
      </c>
      <c r="J12" s="133">
        <v>6.7395833333333335E-2</v>
      </c>
      <c r="K12" s="133">
        <f>J12-J11</f>
        <v>2.7523148148148151E-2</v>
      </c>
      <c r="L12" s="134">
        <f>K12+K10</f>
        <v>4.7534722222222228E-2</v>
      </c>
      <c r="M12" s="135" t="s">
        <v>187</v>
      </c>
      <c r="N12" s="136"/>
      <c r="O12" s="41"/>
    </row>
    <row r="13" spans="1:16" s="12" customFormat="1" ht="30" customHeight="1" thickBot="1" x14ac:dyDescent="0.3">
      <c r="A13" s="143" t="s">
        <v>77</v>
      </c>
      <c r="B13" s="144" t="s">
        <v>106</v>
      </c>
      <c r="C13" s="145">
        <v>6</v>
      </c>
      <c r="D13" s="145">
        <v>172</v>
      </c>
      <c r="E13" s="129">
        <f>D13-D12</f>
        <v>35</v>
      </c>
      <c r="F13" s="146">
        <v>40.42</v>
      </c>
      <c r="G13" s="142">
        <f>(42.92+41.23+40.71+40.84+41.74+40.49+40.91+40.95+41.05+41.14+40.77+40.58+40.49+40.68+40.6+40.86+40.84+40.98+41.14+40.59+41.11+41.65+40.56+40.96+40.88+40.49+40.82+40.97+41.1+40.99+41.56+40.74+40.47+40.42+40.61)/35</f>
        <v>40.938285714285712</v>
      </c>
      <c r="H13" s="130">
        <v>3</v>
      </c>
      <c r="I13" s="149">
        <f>G13-F13</f>
        <v>0.51828571428571024</v>
      </c>
      <c r="J13" s="150">
        <v>8.4027777777777771E-2</v>
      </c>
      <c r="K13" s="173">
        <f>J13-J12</f>
        <v>1.6631944444444435E-2</v>
      </c>
      <c r="L13" s="150">
        <f>K13+K11</f>
        <v>3.6493055555555542E-2</v>
      </c>
      <c r="M13" s="135"/>
      <c r="N13" s="136"/>
    </row>
    <row r="14" spans="1:16" s="12" customFormat="1" ht="30" customHeight="1" x14ac:dyDescent="0.25">
      <c r="A14" s="151"/>
      <c r="B14" s="152"/>
      <c r="C14" s="153"/>
      <c r="D14" s="153"/>
      <c r="E14" s="153"/>
      <c r="F14" s="154">
        <f>AVERAGE(F10,F12)</f>
        <v>39.534999999999997</v>
      </c>
      <c r="G14" s="171">
        <f>AVERAGE(G10,G12)</f>
        <v>40.137714285714281</v>
      </c>
      <c r="H14" s="171" t="s">
        <v>124</v>
      </c>
      <c r="I14" s="156">
        <f>AVERAGE(I10,I12)</f>
        <v>0.60271428571427776</v>
      </c>
      <c r="J14" s="153"/>
      <c r="K14" s="153"/>
      <c r="L14" s="153"/>
      <c r="M14" s="157"/>
      <c r="N14" s="157"/>
    </row>
    <row r="15" spans="1:16" ht="27.75" customHeight="1" x14ac:dyDescent="0.25">
      <c r="A15" s="158"/>
      <c r="B15" s="158"/>
      <c r="C15" s="158"/>
      <c r="D15" s="159"/>
      <c r="E15" s="160"/>
      <c r="F15" s="161">
        <f>AVERAGE(F11,F13)</f>
        <v>40.510000000000005</v>
      </c>
      <c r="G15" s="162">
        <f>AVERAGE(G11,G13)</f>
        <v>41.120984962406013</v>
      </c>
      <c r="H15" s="162" t="s">
        <v>125</v>
      </c>
      <c r="I15" s="163">
        <f>AVERAGE(I11,I13)</f>
        <v>0.61098496240600753</v>
      </c>
      <c r="J15" s="160"/>
      <c r="K15" s="160" t="s">
        <v>38</v>
      </c>
      <c r="L15" s="160"/>
      <c r="M15" s="157"/>
      <c r="N15" s="157"/>
    </row>
    <row r="16" spans="1:16" ht="30" customHeight="1" thickBot="1" x14ac:dyDescent="0.3">
      <c r="A16" s="164"/>
      <c r="B16" s="164"/>
      <c r="C16" s="164"/>
      <c r="D16" s="160"/>
      <c r="E16" s="160"/>
      <c r="F16" s="165">
        <f>AVERAGE(F10:F13)</f>
        <v>40.022500000000008</v>
      </c>
      <c r="G16" s="166">
        <f>AVERAGE(G10:G13)</f>
        <v>40.62934962406014</v>
      </c>
      <c r="H16" s="167"/>
      <c r="I16" s="168">
        <f>AVERAGE(I10:I13)</f>
        <v>0.60684962406014265</v>
      </c>
      <c r="J16" s="160"/>
      <c r="K16" s="160"/>
      <c r="L16" s="160"/>
      <c r="M16" s="164"/>
      <c r="N16" s="164"/>
    </row>
    <row r="19" spans="13:14" x14ac:dyDescent="0.25">
      <c r="M19" s="4"/>
      <c r="N19" s="4"/>
    </row>
    <row r="20" spans="13:14" x14ac:dyDescent="0.25">
      <c r="M20" s="12"/>
      <c r="N20" s="12"/>
    </row>
    <row r="21" spans="13:14" x14ac:dyDescent="0.25">
      <c r="M21" s="12"/>
      <c r="N21" s="12"/>
    </row>
    <row r="22" spans="13:14" x14ac:dyDescent="0.25">
      <c r="M22" s="12"/>
      <c r="N22" s="1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Общие результаты</vt:lpstr>
      <vt:lpstr>Регистрация</vt:lpstr>
      <vt:lpstr>Winni</vt:lpstr>
      <vt:lpstr>Kozak I razboiniki</vt:lpstr>
      <vt:lpstr>Ognem Racing</vt:lpstr>
      <vt:lpstr>RocknRolla</vt:lpstr>
      <vt:lpstr>Mesnyki</vt:lpstr>
      <vt:lpstr>5-gt</vt:lpstr>
      <vt:lpstr>Marakesh</vt:lpstr>
      <vt:lpstr>15А18</vt:lpstr>
      <vt:lpstr>Fobas I Demos</vt:lpstr>
      <vt:lpstr>Vafli</vt:lpstr>
      <vt:lpstr>Kapitan Slow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2016-08-20T18:35:49Z</dcterms:modified>
</cp:coreProperties>
</file>