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75" windowWidth="15480" windowHeight="8985" tabRatio="857" activeTab="1"/>
  </bookViews>
  <sheets>
    <sheet name="Общие результаты" sheetId="22" r:id="rId1"/>
    <sheet name="Регистрация" sheetId="23" r:id="rId2"/>
    <sheet name="Winni" sheetId="15" r:id="rId3"/>
    <sheet name="Kozak i razboyniki" sheetId="16" r:id="rId4"/>
    <sheet name="Mesnyki" sheetId="13" r:id="rId5"/>
    <sheet name="Ognem Racing" sheetId="20" r:id="rId6"/>
    <sheet name="FNT" sheetId="14" r:id="rId7"/>
    <sheet name="Хрен Догонишь" sheetId="19" r:id="rId8"/>
    <sheet name="Fury" sheetId="17" r:id="rId9"/>
    <sheet name="RocknRolla" sheetId="24" r:id="rId10"/>
    <sheet name="Fortune" sheetId="1" r:id="rId11"/>
    <sheet name="Levi 9" sheetId="18" r:id="rId12"/>
    <sheet name="Jaguar" sheetId="12" r:id="rId13"/>
  </sheets>
  <calcPr calcId="145621"/>
</workbook>
</file>

<file path=xl/calcChain.xml><?xml version="1.0" encoding="utf-8"?>
<calcChain xmlns="http://schemas.openxmlformats.org/spreadsheetml/2006/main">
  <c r="G13" i="12" l="1"/>
  <c r="G12" i="12"/>
  <c r="G11" i="12"/>
  <c r="G10" i="12"/>
  <c r="G13" i="18"/>
  <c r="G12" i="18"/>
  <c r="G11" i="18"/>
  <c r="G10" i="18"/>
  <c r="G14" i="1"/>
  <c r="G13" i="1"/>
  <c r="I13" i="1"/>
  <c r="G12" i="1"/>
  <c r="G11" i="1"/>
  <c r="E10" i="1"/>
  <c r="G10" i="1"/>
  <c r="G13" i="24"/>
  <c r="I13" i="24" s="1"/>
  <c r="G12" i="24"/>
  <c r="G11" i="24"/>
  <c r="G15" i="24" s="1"/>
  <c r="G10" i="24"/>
  <c r="I10" i="24" s="1"/>
  <c r="E10" i="24"/>
  <c r="G13" i="17"/>
  <c r="G12" i="17"/>
  <c r="G11" i="17"/>
  <c r="G15" i="17" s="1"/>
  <c r="G10" i="17"/>
  <c r="G13" i="19"/>
  <c r="G15" i="19" s="1"/>
  <c r="G12" i="19"/>
  <c r="G11" i="19"/>
  <c r="G10" i="19"/>
  <c r="G13" i="14"/>
  <c r="G12" i="14"/>
  <c r="G11" i="14"/>
  <c r="G10" i="14"/>
  <c r="G13" i="20"/>
  <c r="G12" i="20"/>
  <c r="G11" i="20"/>
  <c r="G10" i="20"/>
  <c r="G13" i="13"/>
  <c r="G12" i="13"/>
  <c r="G11" i="13"/>
  <c r="G10" i="13"/>
  <c r="G13" i="15"/>
  <c r="G12" i="15"/>
  <c r="G11" i="15"/>
  <c r="G10" i="15"/>
  <c r="G13" i="16"/>
  <c r="G12" i="16"/>
  <c r="G11" i="16"/>
  <c r="G10" i="16"/>
  <c r="K10" i="12"/>
  <c r="L10" i="12" s="1"/>
  <c r="K11" i="12"/>
  <c r="L11" i="12" s="1"/>
  <c r="K12" i="12"/>
  <c r="L12" i="12" s="1"/>
  <c r="K13" i="12"/>
  <c r="L13" i="12" s="1"/>
  <c r="I12" i="1"/>
  <c r="F16" i="24"/>
  <c r="F15" i="24"/>
  <c r="F14" i="24"/>
  <c r="K13" i="24"/>
  <c r="E13" i="24"/>
  <c r="K12" i="24"/>
  <c r="I12" i="24"/>
  <c r="E12" i="24"/>
  <c r="K11" i="24"/>
  <c r="L11" i="24" s="1"/>
  <c r="E11" i="24"/>
  <c r="K10" i="24"/>
  <c r="L10" i="24" s="1"/>
  <c r="F15" i="17"/>
  <c r="F14" i="17"/>
  <c r="G14" i="17"/>
  <c r="F15" i="19"/>
  <c r="F14" i="19"/>
  <c r="G14" i="19"/>
  <c r="L13" i="24" l="1"/>
  <c r="L12" i="24"/>
  <c r="I11" i="24"/>
  <c r="I15" i="24" s="1"/>
  <c r="I14" i="24"/>
  <c r="G14" i="24"/>
  <c r="G16" i="24"/>
  <c r="G15" i="15"/>
  <c r="G14" i="15"/>
  <c r="F15" i="15"/>
  <c r="F14" i="15"/>
  <c r="H27" i="23"/>
  <c r="H25" i="23"/>
  <c r="H23" i="23"/>
  <c r="H21" i="23"/>
  <c r="H19" i="23"/>
  <c r="H17" i="23"/>
  <c r="H15" i="23"/>
  <c r="H13" i="23"/>
  <c r="H11" i="23"/>
  <c r="H9" i="23"/>
  <c r="H7" i="23"/>
  <c r="H9" i="22"/>
  <c r="I16" i="24" l="1"/>
  <c r="F15" i="12"/>
  <c r="F16" i="18"/>
  <c r="G15" i="18"/>
  <c r="F15" i="18"/>
  <c r="F14" i="18"/>
  <c r="F16" i="19"/>
  <c r="F16" i="14"/>
  <c r="F15" i="14"/>
  <c r="F14" i="14"/>
  <c r="F16" i="20"/>
  <c r="F15" i="20"/>
  <c r="F14" i="20"/>
  <c r="F17" i="1"/>
  <c r="F16" i="1"/>
  <c r="F15" i="1"/>
  <c r="F16" i="15"/>
  <c r="I13" i="20"/>
  <c r="G15" i="20"/>
  <c r="I11" i="20"/>
  <c r="I10" i="20"/>
  <c r="F16" i="17"/>
  <c r="F15" i="13"/>
  <c r="F14" i="13"/>
  <c r="F16" i="13"/>
  <c r="F15" i="16"/>
  <c r="F14" i="16"/>
  <c r="E13" i="20"/>
  <c r="I12" i="20"/>
  <c r="E12" i="20"/>
  <c r="E11" i="20"/>
  <c r="E10" i="20"/>
  <c r="I13" i="19"/>
  <c r="I12" i="19"/>
  <c r="I11" i="19"/>
  <c r="E13" i="19"/>
  <c r="E12" i="19"/>
  <c r="E11" i="19"/>
  <c r="I10" i="19"/>
  <c r="E10" i="19"/>
  <c r="I13" i="18"/>
  <c r="I11" i="18"/>
  <c r="G16" i="18"/>
  <c r="E13" i="18"/>
  <c r="I12" i="18"/>
  <c r="E12" i="18"/>
  <c r="E11" i="18"/>
  <c r="E10" i="18"/>
  <c r="I15" i="19" l="1"/>
  <c r="I15" i="18"/>
  <c r="I16" i="19"/>
  <c r="I14" i="19"/>
  <c r="I15" i="20"/>
  <c r="I16" i="20"/>
  <c r="G14" i="20"/>
  <c r="G16" i="20"/>
  <c r="G16" i="19"/>
  <c r="I10" i="18"/>
  <c r="I14" i="20"/>
  <c r="G14" i="18"/>
  <c r="I11" i="17"/>
  <c r="I13" i="17"/>
  <c r="E13" i="17"/>
  <c r="I12" i="17"/>
  <c r="E12" i="17"/>
  <c r="E11" i="17"/>
  <c r="I10" i="17"/>
  <c r="E10" i="17"/>
  <c r="G15" i="16"/>
  <c r="G14" i="16"/>
  <c r="F16" i="16"/>
  <c r="I13" i="16"/>
  <c r="E13" i="16"/>
  <c r="I12" i="16"/>
  <c r="E12" i="16"/>
  <c r="I11" i="16"/>
  <c r="I15" i="16" s="1"/>
  <c r="E11" i="16"/>
  <c r="G16" i="16"/>
  <c r="E10" i="16"/>
  <c r="I12" i="15"/>
  <c r="I13" i="15"/>
  <c r="E13" i="15"/>
  <c r="E12" i="15"/>
  <c r="E11" i="15"/>
  <c r="E10" i="15"/>
  <c r="I12" i="14"/>
  <c r="G15" i="14"/>
  <c r="I11" i="14"/>
  <c r="I13" i="14"/>
  <c r="E13" i="14"/>
  <c r="E12" i="14"/>
  <c r="E11" i="14"/>
  <c r="E10" i="14"/>
  <c r="K10" i="14"/>
  <c r="L10" i="14" s="1"/>
  <c r="K11" i="14"/>
  <c r="L11" i="14" s="1"/>
  <c r="K12" i="14"/>
  <c r="L12" i="14"/>
  <c r="K13" i="14"/>
  <c r="L13" i="14"/>
  <c r="G15" i="13"/>
  <c r="I11" i="13"/>
  <c r="I13" i="13"/>
  <c r="E13" i="13"/>
  <c r="E12" i="13"/>
  <c r="E11" i="13"/>
  <c r="E10" i="13"/>
  <c r="I13" i="12"/>
  <c r="I10" i="12"/>
  <c r="E13" i="12"/>
  <c r="E12" i="12"/>
  <c r="E11" i="12"/>
  <c r="E10" i="12"/>
  <c r="F14" i="12"/>
  <c r="I12" i="12"/>
  <c r="I14" i="1"/>
  <c r="E14" i="1"/>
  <c r="E12" i="1"/>
  <c r="E11" i="1"/>
  <c r="K14" i="1"/>
  <c r="K13" i="1"/>
  <c r="K13" i="13"/>
  <c r="K12" i="13"/>
  <c r="L12" i="13" s="1"/>
  <c r="K11" i="13"/>
  <c r="K13" i="15"/>
  <c r="L13" i="15" s="1"/>
  <c r="K12" i="15"/>
  <c r="L12" i="15" s="1"/>
  <c r="K13" i="16"/>
  <c r="K12" i="16"/>
  <c r="K13" i="17"/>
  <c r="K12" i="17"/>
  <c r="L12" i="17" s="1"/>
  <c r="K13" i="18"/>
  <c r="K12" i="18"/>
  <c r="K13" i="19"/>
  <c r="L13" i="19" s="1"/>
  <c r="K12" i="19"/>
  <c r="L12" i="19" s="1"/>
  <c r="K11" i="19"/>
  <c r="L11" i="19" s="1"/>
  <c r="K11" i="16"/>
  <c r="L11" i="16" s="1"/>
  <c r="K11" i="18"/>
  <c r="L11" i="18" s="1"/>
  <c r="K11" i="1"/>
  <c r="L11" i="1" s="1"/>
  <c r="K11" i="15"/>
  <c r="K11" i="17"/>
  <c r="K13" i="20"/>
  <c r="L13" i="20" s="1"/>
  <c r="K12" i="20"/>
  <c r="L12" i="20" s="1"/>
  <c r="K11" i="20"/>
  <c r="L11" i="20" s="1"/>
  <c r="K10" i="19"/>
  <c r="L10" i="19" s="1"/>
  <c r="K10" i="17"/>
  <c r="L10" i="17" s="1"/>
  <c r="K10" i="16"/>
  <c r="L10" i="16" s="1"/>
  <c r="K10" i="15"/>
  <c r="L10" i="15" s="1"/>
  <c r="K10" i="13"/>
  <c r="L10" i="13" s="1"/>
  <c r="K10" i="18"/>
  <c r="L10" i="18" s="1"/>
  <c r="K10" i="20"/>
  <c r="L10" i="20" s="1"/>
  <c r="K10" i="1"/>
  <c r="L10" i="1" s="1"/>
  <c r="L11" i="15" l="1"/>
  <c r="L13" i="1"/>
  <c r="I15" i="17"/>
  <c r="I14" i="17"/>
  <c r="I15" i="15"/>
  <c r="I11" i="1"/>
  <c r="I16" i="1" s="1"/>
  <c r="G16" i="1"/>
  <c r="I10" i="13"/>
  <c r="G14" i="13"/>
  <c r="G16" i="13"/>
  <c r="G16" i="14"/>
  <c r="G14" i="14"/>
  <c r="I15" i="14"/>
  <c r="I11" i="15"/>
  <c r="L12" i="18"/>
  <c r="L11" i="13"/>
  <c r="L13" i="13"/>
  <c r="I10" i="1"/>
  <c r="G17" i="1"/>
  <c r="G15" i="1"/>
  <c r="I12" i="13"/>
  <c r="I15" i="13" s="1"/>
  <c r="I10" i="14"/>
  <c r="G16" i="15"/>
  <c r="I16" i="17"/>
  <c r="G16" i="17"/>
  <c r="I16" i="18"/>
  <c r="I14" i="18"/>
  <c r="F17" i="12"/>
  <c r="F16" i="12"/>
  <c r="G15" i="12"/>
  <c r="I11" i="12"/>
  <c r="L13" i="18"/>
  <c r="L11" i="17"/>
  <c r="L13" i="17"/>
  <c r="L12" i="16"/>
  <c r="L13" i="16"/>
  <c r="I10" i="16"/>
  <c r="I10" i="15"/>
  <c r="I14" i="15" s="1"/>
  <c r="G14" i="12"/>
  <c r="G16" i="12" s="1"/>
  <c r="L14" i="1"/>
  <c r="I16" i="15" l="1"/>
  <c r="I16" i="14"/>
  <c r="I14" i="14"/>
  <c r="I17" i="1"/>
  <c r="I15" i="1"/>
  <c r="I16" i="16"/>
  <c r="I14" i="16"/>
  <c r="I16" i="13"/>
  <c r="I14" i="13"/>
  <c r="I15" i="12"/>
  <c r="G17" i="12"/>
  <c r="I14" i="12"/>
  <c r="I16" i="12" s="1"/>
  <c r="I17" i="12" l="1"/>
</calcChain>
</file>

<file path=xl/comments1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10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11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2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3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4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5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6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7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8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9.xml><?xml version="1.0" encoding="utf-8"?>
<comments xmlns="http://schemas.openxmlformats.org/spreadsheetml/2006/main">
  <authors>
    <author>Картинг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sharedStrings.xml><?xml version="1.0" encoding="utf-8"?>
<sst xmlns="http://schemas.openxmlformats.org/spreadsheetml/2006/main" count="481" uniqueCount="191">
  <si>
    <t>** заполняется официальным представителем картодрома</t>
  </si>
  <si>
    <t>Подпись организатора**</t>
  </si>
  <si>
    <t>Время поломки**</t>
  </si>
  <si>
    <t>Время круга сек**</t>
  </si>
  <si>
    <t>Круг</t>
  </si>
  <si>
    <t>Причина</t>
  </si>
  <si>
    <t>Поломки</t>
  </si>
  <si>
    <t>всего у пилота</t>
  </si>
  <si>
    <t>отрезок</t>
  </si>
  <si>
    <t>Кол-во кругов на трассе</t>
  </si>
  <si>
    <t>Пилот</t>
  </si>
  <si>
    <t>Обяза-тельные</t>
  </si>
  <si>
    <t>Команда</t>
  </si>
  <si>
    <t>№</t>
  </si>
  <si>
    <t>№ ком</t>
  </si>
  <si>
    <t>Вес</t>
  </si>
  <si>
    <t>Регистрационная форма</t>
  </si>
  <si>
    <t>Финиш</t>
  </si>
  <si>
    <t>Общее время гонки</t>
  </si>
  <si>
    <t>карт</t>
  </si>
  <si>
    <t>Fury</t>
  </si>
  <si>
    <t>Хавило Дима</t>
  </si>
  <si>
    <t>Тыщенко Миша</t>
  </si>
  <si>
    <t>Mesnyki</t>
  </si>
  <si>
    <t>Винтонив Иван</t>
  </si>
  <si>
    <t>Ognem Racing</t>
  </si>
  <si>
    <t>Пикулин Паша</t>
  </si>
  <si>
    <t>Голубченко Саша</t>
  </si>
  <si>
    <t>3-1</t>
  </si>
  <si>
    <t>3-2</t>
  </si>
  <si>
    <t>7-1</t>
  </si>
  <si>
    <t>7-2</t>
  </si>
  <si>
    <t>10-1</t>
  </si>
  <si>
    <t>10-2</t>
  </si>
  <si>
    <t>Онащук Максим</t>
  </si>
  <si>
    <t>Хлопонин Андрей</t>
  </si>
  <si>
    <t>1-1</t>
  </si>
  <si>
    <t>1-2</t>
  </si>
  <si>
    <t>Fortune</t>
  </si>
  <si>
    <t>Levi 9</t>
  </si>
  <si>
    <t>Трофименко Иван</t>
  </si>
  <si>
    <t>8-1</t>
  </si>
  <si>
    <t>Лабинский Николай</t>
  </si>
  <si>
    <t>8-2</t>
  </si>
  <si>
    <t>FNT</t>
  </si>
  <si>
    <t>4-1</t>
  </si>
  <si>
    <t>Несторенко Андрей</t>
  </si>
  <si>
    <t>4-2</t>
  </si>
  <si>
    <t>9-1</t>
  </si>
  <si>
    <t>9-2</t>
  </si>
  <si>
    <t>Jaguar</t>
  </si>
  <si>
    <t>Лихошерст Алексей</t>
  </si>
  <si>
    <t>2-1</t>
  </si>
  <si>
    <t>2-2</t>
  </si>
  <si>
    <t>Манило Денис</t>
  </si>
  <si>
    <t>Стецык Сергей</t>
  </si>
  <si>
    <t>5-1</t>
  </si>
  <si>
    <t>5-2</t>
  </si>
  <si>
    <t>Kozak i razboyniki</t>
  </si>
  <si>
    <t>Квала</t>
  </si>
  <si>
    <t>Место</t>
  </si>
  <si>
    <t>Среднее</t>
  </si>
  <si>
    <t>Карт</t>
  </si>
  <si>
    <t>Плакидюк Виталий</t>
  </si>
  <si>
    <t>Лучший круг</t>
  </si>
  <si>
    <t>Среднее на отрезке</t>
  </si>
  <si>
    <t>Кругов в 0,1 на отрезке</t>
  </si>
  <si>
    <t>стабильность</t>
  </si>
  <si>
    <t>Питы</t>
  </si>
  <si>
    <t>Кругов в 0,1 от лучшего</t>
  </si>
  <si>
    <t>статистика по кругам</t>
  </si>
  <si>
    <t>кругов на отрезке</t>
  </si>
  <si>
    <t>Штрафы/ бонусы (сек)</t>
  </si>
  <si>
    <t>бонус за вес</t>
  </si>
  <si>
    <t>Статистика по кругам</t>
  </si>
  <si>
    <t xml:space="preserve"> Mesnyki</t>
  </si>
  <si>
    <t>Сергей</t>
  </si>
  <si>
    <t>Денис</t>
  </si>
  <si>
    <t>Ваня</t>
  </si>
  <si>
    <t>Миша</t>
  </si>
  <si>
    <t>Дима</t>
  </si>
  <si>
    <t>Влад</t>
  </si>
  <si>
    <t>Олег</t>
  </si>
  <si>
    <t>Андрей</t>
  </si>
  <si>
    <t>Максим</t>
  </si>
  <si>
    <t>Саша</t>
  </si>
  <si>
    <t>Паша</t>
  </si>
  <si>
    <t>№ в гонке</t>
  </si>
  <si>
    <t>Гонка</t>
  </si>
  <si>
    <t>Лучший круг в гонке</t>
  </si>
  <si>
    <t>Время</t>
  </si>
  <si>
    <t>Круги</t>
  </si>
  <si>
    <t>Время/от лидера</t>
  </si>
  <si>
    <t>От места выше</t>
  </si>
  <si>
    <t>На круге</t>
  </si>
  <si>
    <t>Место в гонке</t>
  </si>
  <si>
    <t>Виталик</t>
  </si>
  <si>
    <t>Winni</t>
  </si>
  <si>
    <t>Kozak I Razboiniki</t>
  </si>
  <si>
    <t>Ognem rasing</t>
  </si>
  <si>
    <t>Хрен Догонишь</t>
  </si>
  <si>
    <t>RocknRolla</t>
  </si>
  <si>
    <t>Levi -9</t>
  </si>
  <si>
    <t>1 lap</t>
  </si>
  <si>
    <t>2:00:35.97</t>
  </si>
  <si>
    <t>Серия мини марафонов "Большие Гонки 2016", 2-й этап, 09.07.16</t>
  </si>
  <si>
    <t>Конфигурация #7</t>
  </si>
  <si>
    <t>-</t>
  </si>
  <si>
    <t>2 lap</t>
  </si>
  <si>
    <t>3 lap</t>
  </si>
  <si>
    <t>5 lap</t>
  </si>
  <si>
    <t>Наум</t>
  </si>
  <si>
    <t>Ткаченко Антон</t>
  </si>
  <si>
    <t>Гаврилюк Олег</t>
  </si>
  <si>
    <t>Бахмацкий Олег</t>
  </si>
  <si>
    <t>6-1</t>
  </si>
  <si>
    <t>80</t>
  </si>
  <si>
    <t>Шутка Виталий</t>
  </si>
  <si>
    <t>6-2</t>
  </si>
  <si>
    <t>85</t>
  </si>
  <si>
    <t>Хрен догонишь</t>
  </si>
  <si>
    <t>Скобликов Влад</t>
  </si>
  <si>
    <t>82</t>
  </si>
  <si>
    <t>68</t>
  </si>
  <si>
    <t>Резанко Оля</t>
  </si>
  <si>
    <t>Ognem Rasing</t>
  </si>
  <si>
    <t>73</t>
  </si>
  <si>
    <t>70</t>
  </si>
  <si>
    <t>Kozak I razboiniki</t>
  </si>
  <si>
    <t>84</t>
  </si>
  <si>
    <t>Петушков Андрей</t>
  </si>
  <si>
    <t>Levi-9</t>
  </si>
  <si>
    <t>11-1</t>
  </si>
  <si>
    <t>Линнык Владимир</t>
  </si>
  <si>
    <t>11-2</t>
  </si>
  <si>
    <t>2:07.25</t>
  </si>
  <si>
    <t>2:00.06</t>
  </si>
  <si>
    <t>выбил 4</t>
  </si>
  <si>
    <t>1:44.99</t>
  </si>
  <si>
    <t>2:16.27</t>
  </si>
  <si>
    <t>1:44.82</t>
  </si>
  <si>
    <t>1:40.71</t>
  </si>
  <si>
    <t>бонус за время</t>
  </si>
  <si>
    <t>2:08.01</t>
  </si>
  <si>
    <t>1:44.91</t>
  </si>
  <si>
    <t>1:44.42</t>
  </si>
  <si>
    <t>2:14.71</t>
  </si>
  <si>
    <t>1:44.87</t>
  </si>
  <si>
    <t>1:53.86</t>
  </si>
  <si>
    <t>1:27.42</t>
  </si>
  <si>
    <t>1:45.93</t>
  </si>
  <si>
    <t>1:45.62</t>
  </si>
  <si>
    <t>2:08.35</t>
  </si>
  <si>
    <t>01:44.27</t>
  </si>
  <si>
    <t>1:43.80</t>
  </si>
  <si>
    <t>Оля</t>
  </si>
  <si>
    <t>2:14.98</t>
  </si>
  <si>
    <t>1:45.42</t>
  </si>
  <si>
    <t>1:44.66</t>
  </si>
  <si>
    <t>штраф за нарушение против 4</t>
  </si>
  <si>
    <t>штраф за лимит времени</t>
  </si>
  <si>
    <t>2:15.98</t>
  </si>
  <si>
    <t>2:05.49</t>
  </si>
  <si>
    <t>1:45.89</t>
  </si>
  <si>
    <t>2:11.09</t>
  </si>
  <si>
    <t>1:45.20</t>
  </si>
  <si>
    <t>Антон</t>
  </si>
  <si>
    <t>2:05.91</t>
  </si>
  <si>
    <t>2:19.26</t>
  </si>
  <si>
    <t>1:51.75</t>
  </si>
  <si>
    <t>1:47.46</t>
  </si>
  <si>
    <t>Николай</t>
  </si>
  <si>
    <t>Алексей</t>
  </si>
  <si>
    <t>Иван</t>
  </si>
  <si>
    <t>Володя</t>
  </si>
  <si>
    <t>2:12.35</t>
  </si>
  <si>
    <t>1:49.25</t>
  </si>
  <si>
    <t>1:52.36</t>
  </si>
  <si>
    <t xml:space="preserve">за время </t>
  </si>
  <si>
    <t>штраф против 7</t>
  </si>
  <si>
    <t>штраф за обгон с подбиванием команды №8</t>
  </si>
  <si>
    <t>компенсация на пите за поломку</t>
  </si>
  <si>
    <t>поломка</t>
  </si>
  <si>
    <t>Серия мини марафонов "Большие Гонки 2016", 2-й этап</t>
  </si>
  <si>
    <t>Серия мини марафонов "Большие Гонки 2016", 09.07.2016, Конфигурация №7</t>
  </si>
  <si>
    <t>69</t>
  </si>
  <si>
    <t>33</t>
  </si>
  <si>
    <t>10</t>
  </si>
  <si>
    <t>21</t>
  </si>
  <si>
    <t>13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</si>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</sst>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h:mm:ss;@"/>
    <numFmt numFmtId="166" formatCode="0.000"/>
    <numFmt numFmtId="167" formatCode="mm:ss.0;@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trike/>
      <sz val="12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12"/>
      <color rgb="FFFF0000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u/>
      <sz val="13"/>
      <color indexed="8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5"/>
      <color indexed="8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21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6" fontId="2" fillId="0" borderId="1" xfId="0" applyNumberFormat="1" applyFont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/>
    </xf>
    <xf numFmtId="166" fontId="2" fillId="5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6" fontId="2" fillId="0" borderId="2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6" fontId="10" fillId="0" borderId="22" xfId="0" applyNumberFormat="1" applyFont="1" applyFill="1" applyBorder="1" applyAlignment="1">
      <alignment horizontal="center" vertical="center"/>
    </xf>
    <xf numFmtId="166" fontId="10" fillId="5" borderId="1" xfId="0" applyNumberFormat="1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166" fontId="10" fillId="0" borderId="28" xfId="0" applyNumberFormat="1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28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166" fontId="10" fillId="3" borderId="1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 applyBorder="1" applyAlignment="1"/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166" fontId="0" fillId="0" borderId="13" xfId="0" applyNumberFormat="1" applyFont="1" applyBorder="1" applyAlignment="1">
      <alignment horizontal="center" vertical="center"/>
    </xf>
    <xf numFmtId="166" fontId="0" fillId="0" borderId="6" xfId="0" applyNumberFormat="1" applyFill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6" fontId="0" fillId="0" borderId="36" xfId="0" applyNumberFormat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21" fontId="2" fillId="0" borderId="10" xfId="0" applyNumberFormat="1" applyFont="1" applyBorder="1" applyAlignment="1">
      <alignment horizontal="center" vertical="center"/>
    </xf>
    <xf numFmtId="165" fontId="2" fillId="6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6" fontId="11" fillId="7" borderId="4" xfId="0" applyNumberFormat="1" applyFont="1" applyFill="1" applyBorder="1" applyAlignment="1">
      <alignment horizontal="center" vertical="center"/>
    </xf>
    <xf numFmtId="166" fontId="11" fillId="7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Border="1" applyAlignment="1">
      <alignment horizontal="center" vertical="center"/>
    </xf>
    <xf numFmtId="166" fontId="11" fillId="7" borderId="2" xfId="0" applyNumberFormat="1" applyFont="1" applyFill="1" applyBorder="1" applyAlignment="1">
      <alignment horizontal="center" vertical="center"/>
    </xf>
    <xf numFmtId="166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6" fontId="11" fillId="8" borderId="4" xfId="0" applyNumberFormat="1" applyFont="1" applyFill="1" applyBorder="1" applyAlignment="1">
      <alignment horizontal="center" vertical="center"/>
    </xf>
    <xf numFmtId="166" fontId="11" fillId="8" borderId="3" xfId="0" applyNumberFormat="1" applyFont="1" applyFill="1" applyBorder="1" applyAlignment="1">
      <alignment horizontal="center" vertical="center"/>
    </xf>
    <xf numFmtId="166" fontId="11" fillId="8" borderId="2" xfId="0" applyNumberFormat="1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2" fontId="10" fillId="0" borderId="29" xfId="0" applyNumberFormat="1" applyFont="1" applyFill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0" fillId="9" borderId="3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49" fontId="0" fillId="10" borderId="26" xfId="0" applyNumberForma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11" sqref="G11"/>
    </sheetView>
  </sheetViews>
  <sheetFormatPr defaultRowHeight="15" x14ac:dyDescent="0.25"/>
  <cols>
    <col min="1" max="1" width="9.140625" style="1"/>
    <col min="2" max="2" width="19.5703125" style="1" customWidth="1"/>
    <col min="3" max="3" width="7.140625" style="1" customWidth="1"/>
    <col min="4" max="4" width="11.5703125" style="1" customWidth="1"/>
    <col min="5" max="5" width="7" style="1" customWidth="1"/>
    <col min="6" max="6" width="10.42578125" style="1" customWidth="1"/>
    <col min="7" max="7" width="17" style="1" customWidth="1"/>
    <col min="8" max="8" width="14.7109375" style="1" customWidth="1"/>
    <col min="9" max="9" width="11.140625" style="1" customWidth="1"/>
    <col min="10" max="10" width="9" style="1" customWidth="1"/>
  </cols>
  <sheetData>
    <row r="1" spans="1:10" ht="19.5" x14ac:dyDescent="0.3">
      <c r="A1" s="149" t="s">
        <v>105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7.25" x14ac:dyDescent="0.3">
      <c r="A2" s="150" t="s">
        <v>106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6" customHeight="1" thickBot="1" x14ac:dyDescent="0.3"/>
    <row r="4" spans="1:10" s="2" customFormat="1" ht="15" customHeight="1" x14ac:dyDescent="0.25">
      <c r="A4" s="151" t="s">
        <v>95</v>
      </c>
      <c r="B4" s="153" t="s">
        <v>12</v>
      </c>
      <c r="C4" s="155" t="s">
        <v>87</v>
      </c>
      <c r="D4" s="157" t="s">
        <v>59</v>
      </c>
      <c r="E4" s="158"/>
      <c r="F4" s="159" t="s">
        <v>88</v>
      </c>
      <c r="G4" s="160"/>
      <c r="H4" s="153"/>
      <c r="I4" s="157" t="s">
        <v>89</v>
      </c>
      <c r="J4" s="158"/>
    </row>
    <row r="5" spans="1:10" s="22" customFormat="1" ht="15.75" thickBot="1" x14ac:dyDescent="0.3">
      <c r="A5" s="152"/>
      <c r="B5" s="154"/>
      <c r="C5" s="156"/>
      <c r="D5" s="92" t="s">
        <v>90</v>
      </c>
      <c r="E5" s="93" t="s">
        <v>60</v>
      </c>
      <c r="F5" s="94" t="s">
        <v>91</v>
      </c>
      <c r="G5" s="95" t="s">
        <v>92</v>
      </c>
      <c r="H5" s="95" t="s">
        <v>93</v>
      </c>
      <c r="I5" s="92" t="s">
        <v>90</v>
      </c>
      <c r="J5" s="93" t="s">
        <v>94</v>
      </c>
    </row>
    <row r="6" spans="1:10" s="2" customFormat="1" ht="24.95" customHeight="1" x14ac:dyDescent="0.25">
      <c r="A6" s="89">
        <v>1</v>
      </c>
      <c r="B6" s="134" t="s">
        <v>97</v>
      </c>
      <c r="C6" s="78">
        <v>6</v>
      </c>
      <c r="D6" s="104">
        <v>40.314999999999998</v>
      </c>
      <c r="E6" s="79">
        <v>6</v>
      </c>
      <c r="F6" s="80">
        <v>174</v>
      </c>
      <c r="G6" s="97" t="s">
        <v>104</v>
      </c>
      <c r="H6" s="100" t="s">
        <v>107</v>
      </c>
      <c r="I6" s="148">
        <v>39.549999999999997</v>
      </c>
      <c r="J6" s="79">
        <v>103</v>
      </c>
    </row>
    <row r="7" spans="1:10" s="2" customFormat="1" ht="24.95" customHeight="1" x14ac:dyDescent="0.25">
      <c r="A7" s="8">
        <v>2</v>
      </c>
      <c r="B7" s="135" t="s">
        <v>98</v>
      </c>
      <c r="C7" s="71">
        <v>10</v>
      </c>
      <c r="D7" s="105">
        <v>40.104999999999997</v>
      </c>
      <c r="E7" s="72">
        <v>3</v>
      </c>
      <c r="F7" s="70">
        <v>174</v>
      </c>
      <c r="G7" s="82">
        <v>20.14</v>
      </c>
      <c r="H7" s="81">
        <v>20.14</v>
      </c>
      <c r="I7" s="73">
        <v>39.79</v>
      </c>
      <c r="J7" s="81">
        <v>167</v>
      </c>
    </row>
    <row r="8" spans="1:10" s="2" customFormat="1" ht="24.95" customHeight="1" x14ac:dyDescent="0.25">
      <c r="A8" s="8">
        <v>3</v>
      </c>
      <c r="B8" s="135" t="s">
        <v>23</v>
      </c>
      <c r="C8" s="71">
        <v>3</v>
      </c>
      <c r="D8" s="106">
        <v>40.085000000000001</v>
      </c>
      <c r="E8" s="81">
        <v>2</v>
      </c>
      <c r="F8" s="70">
        <v>174</v>
      </c>
      <c r="G8" s="82">
        <v>29.79</v>
      </c>
      <c r="H8" s="101">
        <v>9.65</v>
      </c>
      <c r="I8" s="98">
        <v>39.89</v>
      </c>
      <c r="J8" s="81">
        <v>169</v>
      </c>
    </row>
    <row r="9" spans="1:10" s="2" customFormat="1" ht="24.95" customHeight="1" x14ac:dyDescent="0.25">
      <c r="A9" s="8">
        <v>4</v>
      </c>
      <c r="B9" s="135" t="s">
        <v>99</v>
      </c>
      <c r="C9" s="71">
        <v>9</v>
      </c>
      <c r="D9" s="105">
        <v>40.049999999999997</v>
      </c>
      <c r="E9" s="72">
        <v>1</v>
      </c>
      <c r="F9" s="70">
        <v>174</v>
      </c>
      <c r="G9" s="84">
        <v>47.14</v>
      </c>
      <c r="H9" s="72">
        <f>G9-G8</f>
        <v>17.350000000000001</v>
      </c>
      <c r="I9" s="99">
        <v>39.72</v>
      </c>
      <c r="J9" s="81">
        <v>60</v>
      </c>
    </row>
    <row r="10" spans="1:10" s="2" customFormat="1" ht="24.95" customHeight="1" x14ac:dyDescent="0.25">
      <c r="A10" s="8">
        <v>5</v>
      </c>
      <c r="B10" s="135" t="s">
        <v>44</v>
      </c>
      <c r="C10" s="71">
        <v>1</v>
      </c>
      <c r="D10" s="105">
        <v>40.39</v>
      </c>
      <c r="E10" s="72">
        <v>7</v>
      </c>
      <c r="F10" s="73">
        <v>173</v>
      </c>
      <c r="G10" s="91" t="s">
        <v>103</v>
      </c>
      <c r="H10" s="102">
        <v>1</v>
      </c>
      <c r="I10" s="99">
        <v>40.29</v>
      </c>
      <c r="J10" s="81">
        <v>56</v>
      </c>
    </row>
    <row r="11" spans="1:10" s="2" customFormat="1" ht="24.95" customHeight="1" x14ac:dyDescent="0.25">
      <c r="A11" s="8">
        <v>6</v>
      </c>
      <c r="B11" s="135" t="s">
        <v>100</v>
      </c>
      <c r="C11" s="71">
        <v>7</v>
      </c>
      <c r="D11" s="105">
        <v>40.51</v>
      </c>
      <c r="E11" s="72">
        <v>10</v>
      </c>
      <c r="F11" s="73">
        <v>173</v>
      </c>
      <c r="G11" s="91" t="s">
        <v>103</v>
      </c>
      <c r="H11" s="102">
        <v>19</v>
      </c>
      <c r="I11" s="99">
        <v>39.799999999999997</v>
      </c>
      <c r="J11" s="81">
        <v>134</v>
      </c>
    </row>
    <row r="12" spans="1:10" s="2" customFormat="1" ht="24.95" customHeight="1" x14ac:dyDescent="0.25">
      <c r="A12" s="8">
        <v>7</v>
      </c>
      <c r="B12" s="135" t="s">
        <v>20</v>
      </c>
      <c r="C12" s="71">
        <v>8</v>
      </c>
      <c r="D12" s="105">
        <v>40.505000000000003</v>
      </c>
      <c r="E12" s="72">
        <v>9</v>
      </c>
      <c r="F12" s="73">
        <v>173</v>
      </c>
      <c r="G12" s="91" t="s">
        <v>103</v>
      </c>
      <c r="H12" s="102">
        <v>1</v>
      </c>
      <c r="I12" s="99">
        <v>39.880000000000003</v>
      </c>
      <c r="J12" s="81">
        <v>77</v>
      </c>
    </row>
    <row r="13" spans="1:10" s="2" customFormat="1" ht="24.95" customHeight="1" x14ac:dyDescent="0.25">
      <c r="A13" s="8">
        <v>8</v>
      </c>
      <c r="B13" s="135" t="s">
        <v>101</v>
      </c>
      <c r="C13" s="71">
        <v>4</v>
      </c>
      <c r="D13" s="105">
        <v>40.185000000000002</v>
      </c>
      <c r="E13" s="72">
        <v>4</v>
      </c>
      <c r="F13" s="73">
        <v>173</v>
      </c>
      <c r="G13" s="91" t="s">
        <v>103</v>
      </c>
      <c r="H13" s="102">
        <v>6</v>
      </c>
      <c r="I13" s="73">
        <v>39.93</v>
      </c>
      <c r="J13" s="81">
        <v>10</v>
      </c>
    </row>
    <row r="14" spans="1:10" s="2" customFormat="1" ht="24.95" customHeight="1" x14ac:dyDescent="0.25">
      <c r="A14" s="8">
        <v>9</v>
      </c>
      <c r="B14" s="135" t="s">
        <v>38</v>
      </c>
      <c r="C14" s="71">
        <v>5</v>
      </c>
      <c r="D14" s="106">
        <v>40.26</v>
      </c>
      <c r="E14" s="81">
        <v>5</v>
      </c>
      <c r="F14" s="70">
        <v>172</v>
      </c>
      <c r="G14" s="82" t="s">
        <v>108</v>
      </c>
      <c r="H14" s="102">
        <v>40</v>
      </c>
      <c r="I14" s="98">
        <v>39.71</v>
      </c>
      <c r="J14" s="81">
        <v>63</v>
      </c>
    </row>
    <row r="15" spans="1:10" s="2" customFormat="1" ht="24.95" customHeight="1" x14ac:dyDescent="0.25">
      <c r="A15" s="8">
        <v>10</v>
      </c>
      <c r="B15" s="135" t="s">
        <v>102</v>
      </c>
      <c r="C15" s="71">
        <v>11</v>
      </c>
      <c r="D15" s="106">
        <v>40.994999999999997</v>
      </c>
      <c r="E15" s="81">
        <v>11</v>
      </c>
      <c r="F15" s="70">
        <v>171</v>
      </c>
      <c r="G15" s="82" t="s">
        <v>109</v>
      </c>
      <c r="H15" s="101" t="s">
        <v>103</v>
      </c>
      <c r="I15" s="70">
        <v>40.200000000000003</v>
      </c>
      <c r="J15" s="81">
        <v>22</v>
      </c>
    </row>
    <row r="16" spans="1:10" ht="24" customHeight="1" thickBot="1" x14ac:dyDescent="0.3">
      <c r="A16" s="137">
        <v>11</v>
      </c>
      <c r="B16" s="136" t="s">
        <v>50</v>
      </c>
      <c r="C16" s="96">
        <v>2</v>
      </c>
      <c r="D16" s="107">
        <v>40.43</v>
      </c>
      <c r="E16" s="76">
        <v>8</v>
      </c>
      <c r="F16" s="77">
        <v>169</v>
      </c>
      <c r="G16" s="96" t="s">
        <v>110</v>
      </c>
      <c r="H16" s="103" t="s">
        <v>103</v>
      </c>
      <c r="I16" s="77">
        <v>40.29</v>
      </c>
      <c r="J16" s="76">
        <v>92</v>
      </c>
    </row>
    <row r="17" spans="1:1" x14ac:dyDescent="0.25">
      <c r="A17" s="74"/>
    </row>
    <row r="18" spans="1:1" x14ac:dyDescent="0.25">
      <c r="A18" s="74"/>
    </row>
    <row r="19" spans="1:1" ht="5.25" customHeight="1" x14ac:dyDescent="0.25">
      <c r="A19" s="74"/>
    </row>
    <row r="20" spans="1:1" s="1" customFormat="1" x14ac:dyDescent="0.25">
      <c r="A20" s="74"/>
    </row>
    <row r="21" spans="1:1" s="1" customFormat="1" x14ac:dyDescent="0.25">
      <c r="A21" s="74"/>
    </row>
    <row r="22" spans="1:1" s="1" customFormat="1" x14ac:dyDescent="0.25">
      <c r="A22" s="74"/>
    </row>
    <row r="23" spans="1:1" s="1" customFormat="1" ht="6.75" customHeight="1" x14ac:dyDescent="0.25">
      <c r="A23" s="74"/>
    </row>
    <row r="24" spans="1:1" s="1" customFormat="1" x14ac:dyDescent="0.25">
      <c r="A24" s="74"/>
    </row>
    <row r="25" spans="1:1" s="1" customFormat="1" x14ac:dyDescent="0.25">
      <c r="A25" s="75"/>
    </row>
    <row r="26" spans="1:1" s="1" customFormat="1" x14ac:dyDescent="0.25">
      <c r="A26" s="75"/>
    </row>
    <row r="27" spans="1:1" s="1" customFormat="1" ht="6.75" customHeight="1" x14ac:dyDescent="0.25">
      <c r="A27" s="75"/>
    </row>
    <row r="28" spans="1:1" s="1" customFormat="1" x14ac:dyDescent="0.25">
      <c r="A28" s="75"/>
    </row>
    <row r="29" spans="1:1" s="1" customFormat="1" x14ac:dyDescent="0.25">
      <c r="A29" s="75"/>
    </row>
    <row r="30" spans="1:1" s="1" customFormat="1" x14ac:dyDescent="0.25">
      <c r="A30" s="75"/>
    </row>
    <row r="31" spans="1:1" s="1" customFormat="1" x14ac:dyDescent="0.25">
      <c r="A31" s="75"/>
    </row>
    <row r="32" spans="1:1" s="1" customFormat="1" ht="7.5" customHeight="1" x14ac:dyDescent="0.25">
      <c r="A32" s="74"/>
    </row>
    <row r="33" spans="1:1" s="1" customFormat="1" x14ac:dyDescent="0.25">
      <c r="A33" s="74"/>
    </row>
    <row r="34" spans="1:1" s="1" customFormat="1" x14ac:dyDescent="0.25">
      <c r="A34" s="74"/>
    </row>
    <row r="35" spans="1:1" s="1" customFormat="1" x14ac:dyDescent="0.25">
      <c r="A35" s="74"/>
    </row>
    <row r="36" spans="1:1" s="1" customFormat="1" ht="6.75" customHeight="1" x14ac:dyDescent="0.25"/>
    <row r="37" spans="1:1" s="1" customFormat="1" x14ac:dyDescent="0.25">
      <c r="A37" s="74"/>
    </row>
    <row r="38" spans="1:1" s="1" customFormat="1" x14ac:dyDescent="0.25">
      <c r="A38" s="74"/>
    </row>
  </sheetData>
  <mergeCells count="8">
    <mergeCell ref="A1:J1"/>
    <mergeCell ref="A2:J2"/>
    <mergeCell ref="A4:A5"/>
    <mergeCell ref="B4:B5"/>
    <mergeCell ref="C4:C5"/>
    <mergeCell ref="D4:E4"/>
    <mergeCell ref="F4:H4"/>
    <mergeCell ref="I4:J4"/>
  </mergeCells>
  <pageMargins left="0.70866141732283472" right="0.70866141732283472" top="0.74803149606299213" bottom="0.74803149606299213" header="0.31496062992125984" footer="0.31496062992125984"/>
  <pageSetup paperSize="9" scale="110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S23"/>
  <sheetViews>
    <sheetView zoomScale="75" zoomScaleNormal="75" workbookViewId="0">
      <selection activeCell="R17" sqref="R17"/>
    </sheetView>
  </sheetViews>
  <sheetFormatPr defaultRowHeight="15" x14ac:dyDescent="0.25"/>
  <cols>
    <col min="1" max="1" width="8.7109375" customWidth="1"/>
    <col min="2" max="2" width="30.7109375" customWidth="1"/>
    <col min="3" max="3" width="9.4257812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14.85546875" hidden="1" customWidth="1"/>
    <col min="14" max="14" width="16.85546875" hidden="1" customWidth="1"/>
    <col min="15" max="15" width="14.85546875" hidden="1" customWidth="1"/>
    <col min="16" max="16" width="0" hidden="1" customWidth="1"/>
    <col min="18" max="18" width="12.42578125" customWidth="1"/>
  </cols>
  <sheetData>
    <row r="4" spans="1:19" ht="18.75" x14ac:dyDescent="0.3">
      <c r="A4" s="188" t="s">
        <v>183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9" ht="7.5" customHeight="1" x14ac:dyDescent="0.25"/>
    <row r="6" spans="1:19" ht="17.25" x14ac:dyDescent="0.3">
      <c r="A6" s="200" t="s">
        <v>101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9" ht="7.5" customHeight="1" x14ac:dyDescent="0.25"/>
    <row r="8" spans="1:19" s="1" customFormat="1" ht="20.25" customHeight="1" x14ac:dyDescent="0.25">
      <c r="A8" s="189" t="s">
        <v>11</v>
      </c>
      <c r="B8" s="204" t="s">
        <v>10</v>
      </c>
      <c r="C8" s="193" t="s">
        <v>19</v>
      </c>
      <c r="D8" s="190" t="s">
        <v>4</v>
      </c>
      <c r="E8" s="195" t="s">
        <v>71</v>
      </c>
      <c r="F8" s="197" t="s">
        <v>70</v>
      </c>
      <c r="G8" s="198"/>
      <c r="H8" s="198"/>
      <c r="I8" s="199"/>
      <c r="J8" s="191" t="s">
        <v>18</v>
      </c>
      <c r="K8" s="189" t="s">
        <v>9</v>
      </c>
      <c r="L8" s="189"/>
    </row>
    <row r="9" spans="1:19" s="1" customFormat="1" ht="27.75" customHeight="1" thickBot="1" x14ac:dyDescent="0.3">
      <c r="A9" s="189"/>
      <c r="B9" s="205"/>
      <c r="C9" s="194"/>
      <c r="D9" s="190"/>
      <c r="E9" s="196"/>
      <c r="F9" s="87" t="s">
        <v>64</v>
      </c>
      <c r="G9" s="86" t="s">
        <v>65</v>
      </c>
      <c r="H9" s="86" t="s">
        <v>69</v>
      </c>
      <c r="I9" s="86" t="s">
        <v>67</v>
      </c>
      <c r="J9" s="192"/>
      <c r="K9" s="85" t="s">
        <v>8</v>
      </c>
      <c r="L9" s="85" t="s">
        <v>7</v>
      </c>
      <c r="M9" s="22" t="s">
        <v>64</v>
      </c>
      <c r="N9" s="22" t="s">
        <v>65</v>
      </c>
      <c r="O9" s="22" t="s">
        <v>66</v>
      </c>
      <c r="P9" s="1" t="s">
        <v>67</v>
      </c>
      <c r="Q9" s="31" t="s">
        <v>68</v>
      </c>
      <c r="R9" s="31" t="s">
        <v>72</v>
      </c>
    </row>
    <row r="10" spans="1:19" s="2" customFormat="1" ht="30" customHeight="1" thickBot="1" x14ac:dyDescent="0.3">
      <c r="A10" s="82">
        <v>1</v>
      </c>
      <c r="B10" s="6" t="s">
        <v>112</v>
      </c>
      <c r="C10" s="5">
        <v>5</v>
      </c>
      <c r="D10" s="5">
        <v>43</v>
      </c>
      <c r="E10" s="14">
        <f>D10</f>
        <v>43</v>
      </c>
      <c r="F10" s="33">
        <v>39.93</v>
      </c>
      <c r="G10" s="60">
        <f>(41.12+41.43+40.71+39.98+40.03+40.54+42.12+40.3+39.93+40.17+40.38+40.52+40.67+40.87+40.99+40.68+40.64+40.8+40.19+40.44+41.12+40.75+40.46+41.6+40.32+40.53+40.14+40.02+40.21+40.13+40.33+40.19+40.26+40.07+40.15+40.22+40.44+40.39+40.24+40.19+40.02+40.23)/42</f>
        <v>40.488571428571447</v>
      </c>
      <c r="H10" s="55">
        <v>3</v>
      </c>
      <c r="I10" s="32">
        <f>G10-F10</f>
        <v>0.55857142857144737</v>
      </c>
      <c r="J10" s="26">
        <v>2.0219907407407409E-2</v>
      </c>
      <c r="K10" s="26">
        <f>J10</f>
        <v>2.0219907407407409E-2</v>
      </c>
      <c r="L10" s="28">
        <f>K10</f>
        <v>2.0219907407407409E-2</v>
      </c>
      <c r="Q10" s="34" t="s">
        <v>161</v>
      </c>
      <c r="R10" s="86"/>
    </row>
    <row r="11" spans="1:19" s="2" customFormat="1" ht="30" customHeight="1" x14ac:dyDescent="0.25">
      <c r="A11" s="82">
        <v>2</v>
      </c>
      <c r="B11" s="6" t="s">
        <v>35</v>
      </c>
      <c r="C11" s="5">
        <v>13</v>
      </c>
      <c r="D11" s="5">
        <v>65</v>
      </c>
      <c r="E11" s="14">
        <f>D11-D10</f>
        <v>22</v>
      </c>
      <c r="F11" s="56">
        <v>40.49</v>
      </c>
      <c r="G11" s="59">
        <f>(41.31+41.05+41.28+40.84+41.01+40.82+41.04+40.85+40.76+40.6+40.49+40.75+40.9+41.33+40.6+40.42+40.85+40.48+40.51+40.72+41.97)/21</f>
        <v>40.884761904761909</v>
      </c>
      <c r="H11" s="55">
        <v>1</v>
      </c>
      <c r="I11" s="37">
        <f t="shared" ref="I11:I13" si="0">G11-F11</f>
        <v>0.39476190476190709</v>
      </c>
      <c r="J11" s="26">
        <v>3.1736111111111111E-2</v>
      </c>
      <c r="K11" s="26">
        <f>J11-J10</f>
        <v>1.1516203703703702E-2</v>
      </c>
      <c r="L11" s="28">
        <f>K11</f>
        <v>1.1516203703703702E-2</v>
      </c>
      <c r="Q11" s="34" t="s">
        <v>162</v>
      </c>
      <c r="R11" s="86"/>
    </row>
    <row r="12" spans="1:19" s="2" customFormat="1" ht="30" customHeight="1" x14ac:dyDescent="0.25">
      <c r="A12" s="82">
        <v>3</v>
      </c>
      <c r="B12" s="6" t="s">
        <v>112</v>
      </c>
      <c r="C12" s="5">
        <v>21</v>
      </c>
      <c r="D12" s="5">
        <v>118</v>
      </c>
      <c r="E12" s="14">
        <f>D12-D11</f>
        <v>53</v>
      </c>
      <c r="F12" s="55">
        <v>40.04</v>
      </c>
      <c r="G12" s="59">
        <f>(40.89+40.63+40.42+40.6+40.23+40.37+40.3+40.22+40.33+40.08+40.17+40.11+40.53+40.31+40.46+40.21+40.41+40.74+40.59+40.17+40.3+40.28+40.5+40.47+40.4+40.14+40.47+40.39+40.73+40.39+40.33+40.49+40.31+41.13+40.51+40.37+40.99+40.31+40.25+40.38+40.04+40.31+40.11+40.61+40.28+40.31+40.34+40.34+40.4+40.24+40.34+40.33)/52</f>
        <v>40.395384615384614</v>
      </c>
      <c r="H12" s="55">
        <v>4</v>
      </c>
      <c r="I12" s="36">
        <f t="shared" si="0"/>
        <v>0.35538461538461519</v>
      </c>
      <c r="J12" s="26">
        <v>5.752314814814815E-2</v>
      </c>
      <c r="K12" s="26">
        <f>J12-J11</f>
        <v>2.5787037037037039E-2</v>
      </c>
      <c r="L12" s="26">
        <f>K12+K10</f>
        <v>4.6006944444444448E-2</v>
      </c>
      <c r="Q12" s="34" t="s">
        <v>163</v>
      </c>
      <c r="R12" s="86"/>
    </row>
    <row r="13" spans="1:19" s="2" customFormat="1" ht="30" customHeight="1" thickBot="1" x14ac:dyDescent="0.3">
      <c r="A13" s="12" t="s">
        <v>17</v>
      </c>
      <c r="B13" s="9" t="s">
        <v>35</v>
      </c>
      <c r="C13" s="10">
        <v>69</v>
      </c>
      <c r="D13" s="10">
        <v>173</v>
      </c>
      <c r="E13" s="53">
        <f>D13-D12</f>
        <v>55</v>
      </c>
      <c r="F13" s="57">
        <v>40.06</v>
      </c>
      <c r="G13" s="121">
        <f>(40.44+40.55+40.72+40.56+40.56+40.54+40.4+40.48+40.44+40.29+40.28+40.26+40.32+40.39+40.34+40.18+40.45+40.36+40.55+40.14+40.17+40.55+40.7+41.01+40.17+40.39+40.37+41.01+40.14+40.44+40.92+40.44+40.52+40.24+40.57+40.87+40.95+42.6+40.72+40.36+40.3+41.57+40.06+40.82+40.47+40.39+40.69+43.18+40.56+40.65+40.48+40.59+40.38+40.69)/54</f>
        <v>40.596666666666671</v>
      </c>
      <c r="H13" s="57">
        <v>2</v>
      </c>
      <c r="I13" s="65">
        <f t="shared" si="0"/>
        <v>0.53666666666666885</v>
      </c>
      <c r="J13" s="26">
        <v>8.4062499999999998E-2</v>
      </c>
      <c r="K13" s="26">
        <f>J13-J12</f>
        <v>2.6539351851851849E-2</v>
      </c>
      <c r="L13" s="26">
        <f>K13+K11</f>
        <v>3.8055555555555551E-2</v>
      </c>
      <c r="Q13" s="34"/>
      <c r="R13" s="86">
        <v>5</v>
      </c>
      <c r="S13" s="2" t="s">
        <v>180</v>
      </c>
    </row>
    <row r="14" spans="1:19" s="2" customFormat="1" ht="27" customHeight="1" x14ac:dyDescent="0.25">
      <c r="A14" s="42"/>
      <c r="B14" s="43"/>
      <c r="C14" s="44"/>
      <c r="D14" s="44"/>
      <c r="E14" s="44"/>
      <c r="F14" s="113">
        <f>AVERAGE(F10,F12)</f>
        <v>39.984999999999999</v>
      </c>
      <c r="G14" s="114">
        <f>AVERAGE(G10,G12)</f>
        <v>40.441978021978031</v>
      </c>
      <c r="H14" s="114" t="s">
        <v>166</v>
      </c>
      <c r="I14" s="115">
        <f>AVERAGE(I10,I12)</f>
        <v>0.45697802197803128</v>
      </c>
      <c r="J14" s="41"/>
      <c r="K14" s="41"/>
      <c r="L14" s="41"/>
    </row>
    <row r="15" spans="1:19" s="2" customFormat="1" ht="27" customHeight="1" x14ac:dyDescent="0.25">
      <c r="A15" s="39"/>
      <c r="B15" s="40"/>
      <c r="C15" s="41"/>
      <c r="D15" s="41"/>
      <c r="E15" s="41"/>
      <c r="F15" s="106">
        <f>AVERAGE(F11,F13)</f>
        <v>40.275000000000006</v>
      </c>
      <c r="G15" s="64">
        <f>AVERAGE(G11,G13)</f>
        <v>40.74071428571429</v>
      </c>
      <c r="H15" s="64" t="s">
        <v>83</v>
      </c>
      <c r="I15" s="116">
        <f>AVERAGE(I11,I13)</f>
        <v>0.46571428571428797</v>
      </c>
      <c r="J15" s="41"/>
      <c r="K15" s="41"/>
      <c r="L15" s="41"/>
    </row>
    <row r="16" spans="1:19" ht="27" customHeight="1" thickBot="1" x14ac:dyDescent="0.3">
      <c r="A16" s="51"/>
      <c r="B16" s="51"/>
      <c r="C16" s="51"/>
      <c r="D16" s="52"/>
      <c r="E16" s="52"/>
      <c r="F16" s="124">
        <f>AVERAGE(F10:F13)</f>
        <v>40.130000000000003</v>
      </c>
      <c r="G16" s="125">
        <f>AVERAGE(G10:G13)</f>
        <v>40.59134615384616</v>
      </c>
      <c r="H16" s="125"/>
      <c r="I16" s="126">
        <f>AVERAGE(I10:I13)</f>
        <v>0.46134615384615962</v>
      </c>
    </row>
    <row r="18" spans="1:12" ht="20.25" hidden="1" customHeight="1" x14ac:dyDescent="0.25">
      <c r="A18" s="190" t="s">
        <v>6</v>
      </c>
      <c r="B18" s="176" t="s">
        <v>5</v>
      </c>
      <c r="C18" s="82"/>
      <c r="D18" s="176" t="s">
        <v>4</v>
      </c>
      <c r="E18" s="12"/>
      <c r="F18" s="12"/>
      <c r="G18" s="12"/>
      <c r="H18" s="12"/>
      <c r="I18" s="12"/>
      <c r="J18" s="202" t="s">
        <v>3</v>
      </c>
      <c r="K18" s="201" t="s">
        <v>2</v>
      </c>
      <c r="L18" s="201" t="s">
        <v>1</v>
      </c>
    </row>
    <row r="19" spans="1:12" s="1" customFormat="1" ht="20.25" hidden="1" customHeight="1" x14ac:dyDescent="0.25">
      <c r="A19" s="190"/>
      <c r="B19" s="176"/>
      <c r="C19" s="82"/>
      <c r="D19" s="176"/>
      <c r="E19" s="83"/>
      <c r="F19" s="83"/>
      <c r="G19" s="83"/>
      <c r="H19" s="83"/>
      <c r="I19" s="83"/>
      <c r="J19" s="203"/>
      <c r="K19" s="201"/>
      <c r="L19" s="201"/>
    </row>
    <row r="20" spans="1:12" s="2" customFormat="1" ht="30" hidden="1" customHeight="1" x14ac:dyDescent="0.25">
      <c r="A20" s="82">
        <v>1</v>
      </c>
      <c r="B20" s="4"/>
      <c r="C20" s="4"/>
      <c r="D20" s="82"/>
      <c r="E20" s="82"/>
      <c r="F20" s="82"/>
      <c r="G20" s="82"/>
      <c r="H20" s="82"/>
      <c r="I20" s="82"/>
      <c r="J20" s="82"/>
      <c r="K20" s="82"/>
      <c r="L20" s="82"/>
    </row>
    <row r="21" spans="1:12" s="2" customFormat="1" ht="30" hidden="1" customHeight="1" x14ac:dyDescent="0.25">
      <c r="A21" s="82">
        <v>2</v>
      </c>
      <c r="B21" s="4"/>
      <c r="C21" s="4"/>
      <c r="D21" s="82"/>
      <c r="E21" s="82"/>
      <c r="F21" s="82"/>
      <c r="G21" s="82"/>
      <c r="H21" s="82"/>
      <c r="I21" s="82"/>
      <c r="J21" s="82"/>
      <c r="K21" s="82"/>
      <c r="L21" s="82"/>
    </row>
    <row r="22" spans="1:12" s="2" customFormat="1" ht="30" hidden="1" customHeight="1" x14ac:dyDescent="0.25">
      <c r="A22" s="82">
        <v>3</v>
      </c>
      <c r="B22" s="4"/>
      <c r="C22" s="4"/>
      <c r="D22" s="82"/>
      <c r="E22" s="82"/>
      <c r="F22" s="82"/>
      <c r="G22" s="82"/>
      <c r="H22" s="82"/>
      <c r="I22" s="82"/>
      <c r="J22" s="82"/>
      <c r="K22" s="82"/>
      <c r="L22" s="82"/>
    </row>
    <row r="23" spans="1:12" hidden="1" x14ac:dyDescent="0.25">
      <c r="A23" t="s">
        <v>0</v>
      </c>
    </row>
  </sheetData>
  <mergeCells count="16">
    <mergeCell ref="L18:L19"/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  <mergeCell ref="A18:A19"/>
    <mergeCell ref="B18:B19"/>
    <mergeCell ref="D18:D19"/>
    <mergeCell ref="J18:J19"/>
    <mergeCell ref="K18:K19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S24"/>
  <sheetViews>
    <sheetView zoomScale="75" zoomScaleNormal="75" workbookViewId="0">
      <selection activeCell="A4" sqref="A4:L4"/>
    </sheetView>
  </sheetViews>
  <sheetFormatPr defaultRowHeight="15" x14ac:dyDescent="0.25"/>
  <cols>
    <col min="1" max="1" width="8.7109375" customWidth="1"/>
    <col min="2" max="2" width="30.7109375" customWidth="1"/>
    <col min="3" max="3" width="9.4257812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14.85546875" hidden="1" customWidth="1"/>
    <col min="14" max="14" width="16.85546875" hidden="1" customWidth="1"/>
    <col min="15" max="15" width="14.85546875" hidden="1" customWidth="1"/>
    <col min="16" max="16" width="0" hidden="1" customWidth="1"/>
    <col min="18" max="18" width="12.42578125" customWidth="1"/>
  </cols>
  <sheetData>
    <row r="4" spans="1:19" ht="18.75" x14ac:dyDescent="0.3">
      <c r="A4" s="188" t="s">
        <v>183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9" ht="7.5" customHeight="1" x14ac:dyDescent="0.25"/>
    <row r="6" spans="1:19" ht="17.25" x14ac:dyDescent="0.3">
      <c r="A6" s="200" t="s">
        <v>38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9" ht="7.5" customHeight="1" x14ac:dyDescent="0.25"/>
    <row r="8" spans="1:19" s="1" customFormat="1" ht="20.25" customHeight="1" x14ac:dyDescent="0.25">
      <c r="A8" s="189" t="s">
        <v>11</v>
      </c>
      <c r="B8" s="204"/>
      <c r="C8" s="193" t="s">
        <v>19</v>
      </c>
      <c r="D8" s="190" t="s">
        <v>4</v>
      </c>
      <c r="E8" s="195" t="s">
        <v>71</v>
      </c>
      <c r="F8" s="197" t="s">
        <v>70</v>
      </c>
      <c r="G8" s="198"/>
      <c r="H8" s="198"/>
      <c r="I8" s="199"/>
      <c r="J8" s="191" t="s">
        <v>18</v>
      </c>
      <c r="K8" s="189" t="s">
        <v>9</v>
      </c>
      <c r="L8" s="189"/>
    </row>
    <row r="9" spans="1:19" s="1" customFormat="1" ht="27.75" customHeight="1" thickBot="1" x14ac:dyDescent="0.3">
      <c r="A9" s="189"/>
      <c r="B9" s="205"/>
      <c r="C9" s="194"/>
      <c r="D9" s="190"/>
      <c r="E9" s="196"/>
      <c r="F9" s="87" t="s">
        <v>64</v>
      </c>
      <c r="G9" s="16" t="s">
        <v>65</v>
      </c>
      <c r="H9" s="16" t="s">
        <v>69</v>
      </c>
      <c r="I9" s="16" t="s">
        <v>67</v>
      </c>
      <c r="J9" s="192"/>
      <c r="K9" s="7" t="s">
        <v>8</v>
      </c>
      <c r="L9" s="7" t="s">
        <v>7</v>
      </c>
      <c r="M9" s="22" t="s">
        <v>64</v>
      </c>
      <c r="N9" s="22" t="s">
        <v>65</v>
      </c>
      <c r="O9" s="22" t="s">
        <v>66</v>
      </c>
      <c r="P9" s="1" t="s">
        <v>67</v>
      </c>
      <c r="Q9" s="31" t="s">
        <v>68</v>
      </c>
      <c r="R9" s="31" t="s">
        <v>72</v>
      </c>
    </row>
    <row r="10" spans="1:19" s="2" customFormat="1" ht="30" customHeight="1" thickBot="1" x14ac:dyDescent="0.3">
      <c r="A10" s="3">
        <v>1</v>
      </c>
      <c r="B10" s="6" t="s">
        <v>113</v>
      </c>
      <c r="C10" s="5">
        <v>6</v>
      </c>
      <c r="D10" s="5">
        <v>43</v>
      </c>
      <c r="E10" s="14">
        <f>D10</f>
        <v>43</v>
      </c>
      <c r="F10" s="50">
        <v>40.06</v>
      </c>
      <c r="G10" s="60">
        <f>(40.97+41.51+40.83+40.78+40.92+40.96+40.98+40.41+40.26+40.35+40.4+40.35+40.23+40.06+40.87+40.56+40.32+41.94+40.71+40.25+40.19+41.24+40.37+40.99+40.45+40.74+40.39+40.84+40.85+40.85+40.83+40.99+41.27+40.76+40.5+41.35+40.65+40.7+40.35+42.46+40.84+40.73)/42</f>
        <v>40.761904761904759</v>
      </c>
      <c r="H10" s="55">
        <v>0</v>
      </c>
      <c r="I10" s="32">
        <f>G10-F10</f>
        <v>0.70190476190475692</v>
      </c>
      <c r="J10" s="27">
        <v>2.0370370370370369E-2</v>
      </c>
      <c r="K10" s="26">
        <f>J10</f>
        <v>2.0370370370370369E-2</v>
      </c>
      <c r="L10" s="28">
        <f>K10</f>
        <v>2.0370370370370369E-2</v>
      </c>
      <c r="Q10" s="34" t="s">
        <v>164</v>
      </c>
      <c r="R10" s="86">
        <v>-4</v>
      </c>
      <c r="S10" s="2" t="s">
        <v>142</v>
      </c>
    </row>
    <row r="11" spans="1:19" s="2" customFormat="1" ht="30" customHeight="1" thickBot="1" x14ac:dyDescent="0.3">
      <c r="A11" s="3">
        <v>2</v>
      </c>
      <c r="B11" s="6" t="s">
        <v>34</v>
      </c>
      <c r="C11" s="5">
        <v>4</v>
      </c>
      <c r="D11" s="5">
        <v>107</v>
      </c>
      <c r="E11" s="14">
        <f>D11-D10</f>
        <v>64</v>
      </c>
      <c r="F11" s="33">
        <v>39.71</v>
      </c>
      <c r="G11" s="60">
        <f>(40.85+40.47+41.01+40.3+40.22+40.43+40.36+40.31+40.165+40.65+40.38+40.25+40.24+40.28+42.16+40.57+40.5+40.03+39.71+40.49+41.94+40.47+40.36+40.51+40.26+40.15+39.98+40.22+40.09+40.29+40.22+39.95+40.02+40.06+40.11+41.42+40.17+40.1+40.15+40.03+40.06+40.14+39.93+41.59+40.76+40.14+40.38+40.27+40.36+40.06+40.4+40.23+40.06+40.12+40.23+40.31+40.01+40.63+40.21+40.23+40.14+40.28+40.55)/63</f>
        <v>40.364523809523817</v>
      </c>
      <c r="H11" s="55">
        <v>0</v>
      </c>
      <c r="I11" s="37">
        <f t="shared" ref="I11:I14" si="0">G11-F11</f>
        <v>0.65452380952381617</v>
      </c>
      <c r="J11" s="27">
        <v>5.1307870370370372E-2</v>
      </c>
      <c r="K11" s="26">
        <f>J11-J10</f>
        <v>3.0937500000000003E-2</v>
      </c>
      <c r="L11" s="28">
        <f>K11</f>
        <v>3.0937500000000003E-2</v>
      </c>
      <c r="Q11" s="34" t="s">
        <v>165</v>
      </c>
      <c r="R11" s="86"/>
    </row>
    <row r="12" spans="1:19" s="2" customFormat="1" ht="30" customHeight="1" x14ac:dyDescent="0.25">
      <c r="A12" s="206">
        <v>3</v>
      </c>
      <c r="B12" s="6" t="s">
        <v>113</v>
      </c>
      <c r="C12" s="5">
        <v>1</v>
      </c>
      <c r="D12" s="5">
        <v>130</v>
      </c>
      <c r="E12" s="208">
        <f>D13-D11</f>
        <v>45</v>
      </c>
      <c r="F12" s="56">
        <v>40.93</v>
      </c>
      <c r="G12" s="59">
        <f>(41.03+40.93+41.04+40.99+41.29+41.09+41.3+41.09+44.29+41.09+41.41+41.42+41.24+41.31+41.1+41.08+41.22+41.25+41.45+41.3+42.08+43.59)/22</f>
        <v>41.481363636363646</v>
      </c>
      <c r="H12" s="55">
        <v>2</v>
      </c>
      <c r="I12" s="37">
        <f t="shared" si="0"/>
        <v>0.55136363636364649</v>
      </c>
      <c r="J12" s="27"/>
      <c r="K12" s="26"/>
      <c r="L12" s="28"/>
      <c r="Q12" s="34"/>
      <c r="R12" s="90"/>
      <c r="S12" s="2" t="s">
        <v>182</v>
      </c>
    </row>
    <row r="13" spans="1:19" s="2" customFormat="1" ht="30" customHeight="1" x14ac:dyDescent="0.25">
      <c r="A13" s="207"/>
      <c r="B13" s="6" t="s">
        <v>113</v>
      </c>
      <c r="C13" s="5">
        <v>13</v>
      </c>
      <c r="D13" s="5">
        <v>152</v>
      </c>
      <c r="E13" s="209"/>
      <c r="F13" s="55">
        <v>40.43</v>
      </c>
      <c r="G13" s="121">
        <f>(40.78+40.99+41.28+40.95+40.91+40.85+40.8+40.82+40.82+40.68+40.75+41.58+40.52+40.43+40.7+41.06+40.83+40.78+41.09+40.7+41.29)/21</f>
        <v>40.886190476190485</v>
      </c>
      <c r="H13" s="55">
        <v>1</v>
      </c>
      <c r="I13" s="37">
        <f t="shared" si="0"/>
        <v>0.45619047619048558</v>
      </c>
      <c r="J13" s="110">
        <v>7.4108796296296298E-2</v>
      </c>
      <c r="K13" s="26">
        <f>J13-J11</f>
        <v>2.2800925925925926E-2</v>
      </c>
      <c r="L13" s="26">
        <f>K13+K10</f>
        <v>4.3171296296296291E-2</v>
      </c>
      <c r="Q13" s="34" t="s">
        <v>167</v>
      </c>
      <c r="R13" s="90">
        <v>-45</v>
      </c>
      <c r="S13" s="2" t="s">
        <v>181</v>
      </c>
    </row>
    <row r="14" spans="1:19" s="2" customFormat="1" ht="30" customHeight="1" thickBot="1" x14ac:dyDescent="0.3">
      <c r="A14" s="12" t="s">
        <v>17</v>
      </c>
      <c r="B14" s="9" t="s">
        <v>34</v>
      </c>
      <c r="C14" s="5">
        <v>10</v>
      </c>
      <c r="D14" s="10">
        <v>172</v>
      </c>
      <c r="E14" s="53">
        <f>D14-D13</f>
        <v>20</v>
      </c>
      <c r="F14" s="57">
        <v>40.049999999999997</v>
      </c>
      <c r="G14" s="121">
        <f>(41.16+40.77+40.78+40.63+40.52+40.37+40.83+40.33+40.45+40.56+40.05+41.25+40.6+40.2+40.31+40.15+40.59+40.37)/18</f>
        <v>40.551111111111112</v>
      </c>
      <c r="H14" s="57">
        <v>1</v>
      </c>
      <c r="I14" s="65">
        <f t="shared" si="0"/>
        <v>0.50111111111111484</v>
      </c>
      <c r="J14" s="27">
        <v>8.3993055555555543E-2</v>
      </c>
      <c r="K14" s="111">
        <f>J14-J13</f>
        <v>9.8842592592592454E-3</v>
      </c>
      <c r="L14" s="26">
        <f>K14+K11</f>
        <v>4.0821759259259252E-2</v>
      </c>
      <c r="Q14" s="34"/>
      <c r="R14" s="90">
        <v>20</v>
      </c>
      <c r="S14" s="2" t="s">
        <v>160</v>
      </c>
    </row>
    <row r="15" spans="1:19" s="2" customFormat="1" ht="27" customHeight="1" x14ac:dyDescent="0.25">
      <c r="A15" s="42"/>
      <c r="B15" s="43"/>
      <c r="C15" s="44"/>
      <c r="D15" s="44"/>
      <c r="E15" s="44"/>
      <c r="F15" s="113">
        <f>AVERAGE(F10,F13)</f>
        <v>40.245000000000005</v>
      </c>
      <c r="G15" s="114">
        <f>AVERAGE(G10,G13)</f>
        <v>40.824047619047619</v>
      </c>
      <c r="H15" s="114" t="s">
        <v>82</v>
      </c>
      <c r="I15" s="115">
        <f>AVERAGE(I10,I13)</f>
        <v>0.57904761904762125</v>
      </c>
      <c r="J15" s="41"/>
      <c r="K15" s="41"/>
      <c r="L15" s="41"/>
    </row>
    <row r="16" spans="1:19" s="2" customFormat="1" ht="27" customHeight="1" x14ac:dyDescent="0.25">
      <c r="A16" s="39"/>
      <c r="B16" s="40"/>
      <c r="C16" s="41"/>
      <c r="D16" s="41"/>
      <c r="E16" s="41"/>
      <c r="F16" s="106">
        <f>AVERAGE(F11,F14)</f>
        <v>39.879999999999995</v>
      </c>
      <c r="G16" s="64">
        <f>AVERAGE(G11,G14)</f>
        <v>40.457817460317465</v>
      </c>
      <c r="H16" s="64" t="s">
        <v>84</v>
      </c>
      <c r="I16" s="116">
        <f>AVERAGE(I11,I14)</f>
        <v>0.5778174603174655</v>
      </c>
      <c r="J16" s="41"/>
      <c r="K16" s="41"/>
      <c r="L16" s="41"/>
    </row>
    <row r="17" spans="1:12" ht="27" customHeight="1" thickBot="1" x14ac:dyDescent="0.3">
      <c r="A17" s="51"/>
      <c r="B17" s="51"/>
      <c r="C17" s="51"/>
      <c r="D17" s="52"/>
      <c r="E17" s="52"/>
      <c r="F17" s="124">
        <f>AVERAGE(F10:F14)</f>
        <v>40.236000000000004</v>
      </c>
      <c r="G17" s="125">
        <f>AVERAGE(G10:G14)</f>
        <v>40.809018759018763</v>
      </c>
      <c r="H17" s="125"/>
      <c r="I17" s="126">
        <f>AVERAGE(I10:I14)</f>
        <v>0.57301875901876398</v>
      </c>
    </row>
    <row r="19" spans="1:12" ht="20.25" hidden="1" customHeight="1" x14ac:dyDescent="0.25">
      <c r="A19" s="190" t="s">
        <v>6</v>
      </c>
      <c r="B19" s="176" t="s">
        <v>5</v>
      </c>
      <c r="C19" s="17"/>
      <c r="D19" s="176" t="s">
        <v>4</v>
      </c>
      <c r="E19" s="12"/>
      <c r="F19" s="12"/>
      <c r="G19" s="12"/>
      <c r="H19" s="12"/>
      <c r="I19" s="12"/>
      <c r="J19" s="202" t="s">
        <v>3</v>
      </c>
      <c r="K19" s="201" t="s">
        <v>2</v>
      </c>
      <c r="L19" s="201" t="s">
        <v>1</v>
      </c>
    </row>
    <row r="20" spans="1:12" s="1" customFormat="1" ht="20.25" hidden="1" customHeight="1" x14ac:dyDescent="0.25">
      <c r="A20" s="190"/>
      <c r="B20" s="176"/>
      <c r="C20" s="17"/>
      <c r="D20" s="176"/>
      <c r="E20" s="11"/>
      <c r="F20" s="11"/>
      <c r="G20" s="11"/>
      <c r="H20" s="11"/>
      <c r="I20" s="11"/>
      <c r="J20" s="203"/>
      <c r="K20" s="201"/>
      <c r="L20" s="201"/>
    </row>
    <row r="21" spans="1:12" s="2" customFormat="1" ht="30" hidden="1" customHeight="1" x14ac:dyDescent="0.25">
      <c r="A21" s="3">
        <v>1</v>
      </c>
      <c r="B21" s="4"/>
      <c r="C21" s="4"/>
      <c r="D21" s="3"/>
      <c r="E21" s="17"/>
      <c r="F21" s="17"/>
      <c r="G21" s="17"/>
      <c r="H21" s="17"/>
      <c r="I21" s="17"/>
      <c r="J21" s="3"/>
      <c r="K21" s="3"/>
      <c r="L21" s="3"/>
    </row>
    <row r="22" spans="1:12" s="2" customFormat="1" ht="30" hidden="1" customHeight="1" x14ac:dyDescent="0.25">
      <c r="A22" s="3">
        <v>2</v>
      </c>
      <c r="B22" s="4"/>
      <c r="C22" s="4"/>
      <c r="D22" s="3"/>
      <c r="E22" s="17"/>
      <c r="F22" s="17"/>
      <c r="G22" s="17"/>
      <c r="H22" s="17"/>
      <c r="I22" s="17"/>
      <c r="J22" s="3"/>
      <c r="K22" s="3"/>
      <c r="L22" s="3"/>
    </row>
    <row r="23" spans="1:12" s="2" customFormat="1" ht="30" hidden="1" customHeight="1" x14ac:dyDescent="0.25">
      <c r="A23" s="3">
        <v>3</v>
      </c>
      <c r="B23" s="4"/>
      <c r="C23" s="4"/>
      <c r="D23" s="3"/>
      <c r="E23" s="17"/>
      <c r="F23" s="17"/>
      <c r="G23" s="17"/>
      <c r="H23" s="17"/>
      <c r="I23" s="17"/>
      <c r="J23" s="3"/>
      <c r="K23" s="3"/>
      <c r="L23" s="3"/>
    </row>
    <row r="24" spans="1:12" hidden="1" x14ac:dyDescent="0.25">
      <c r="A24" t="s">
        <v>0</v>
      </c>
    </row>
  </sheetData>
  <mergeCells count="18">
    <mergeCell ref="A12:A13"/>
    <mergeCell ref="E12:E13"/>
    <mergeCell ref="A4:L4"/>
    <mergeCell ref="A6:L6"/>
    <mergeCell ref="A8:A9"/>
    <mergeCell ref="D8:D9"/>
    <mergeCell ref="J8:J9"/>
    <mergeCell ref="K8:L8"/>
    <mergeCell ref="C8:C9"/>
    <mergeCell ref="F8:I8"/>
    <mergeCell ref="E8:E9"/>
    <mergeCell ref="B8:B9"/>
    <mergeCell ref="L19:L20"/>
    <mergeCell ref="A19:A20"/>
    <mergeCell ref="B19:B20"/>
    <mergeCell ref="D19:D20"/>
    <mergeCell ref="J19:J20"/>
    <mergeCell ref="K19:K20"/>
  </mergeCells>
  <phoneticPr fontId="0" type="noConversion"/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O22"/>
  <sheetViews>
    <sheetView zoomScale="75" zoomScaleNormal="75" workbookViewId="0">
      <selection activeCell="A2" sqref="A1:XFD2"/>
    </sheetView>
  </sheetViews>
  <sheetFormatPr defaultRowHeight="15" x14ac:dyDescent="0.25"/>
  <cols>
    <col min="1" max="1" width="8.7109375" customWidth="1"/>
    <col min="2" max="2" width="30.7109375" customWidth="1"/>
    <col min="3" max="3" width="9.8554687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9.28515625" customWidth="1"/>
    <col min="14" max="14" width="12.42578125" customWidth="1"/>
  </cols>
  <sheetData>
    <row r="4" spans="1:15" ht="18.75" x14ac:dyDescent="0.3">
      <c r="A4" s="188" t="s">
        <v>183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5" ht="7.5" customHeight="1" x14ac:dyDescent="0.25"/>
    <row r="6" spans="1:15" ht="17.25" x14ac:dyDescent="0.3">
      <c r="A6" s="150" t="s">
        <v>39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5" ht="7.5" customHeight="1" x14ac:dyDescent="0.25"/>
    <row r="8" spans="1:15" s="1" customFormat="1" ht="20.25" customHeight="1" x14ac:dyDescent="0.25">
      <c r="A8" s="189" t="s">
        <v>11</v>
      </c>
      <c r="B8" s="190" t="s">
        <v>10</v>
      </c>
      <c r="C8" s="193" t="s">
        <v>19</v>
      </c>
      <c r="D8" s="190" t="s">
        <v>4</v>
      </c>
      <c r="E8" s="195" t="s">
        <v>71</v>
      </c>
      <c r="F8" s="197" t="s">
        <v>70</v>
      </c>
      <c r="G8" s="198"/>
      <c r="H8" s="198"/>
      <c r="I8" s="199"/>
      <c r="J8" s="191" t="s">
        <v>18</v>
      </c>
      <c r="K8" s="189" t="s">
        <v>9</v>
      </c>
      <c r="L8" s="189"/>
    </row>
    <row r="9" spans="1:15" s="1" customFormat="1" ht="27.75" customHeight="1" x14ac:dyDescent="0.25">
      <c r="A9" s="189"/>
      <c r="B9" s="190"/>
      <c r="C9" s="194"/>
      <c r="D9" s="190"/>
      <c r="E9" s="196"/>
      <c r="F9" s="18" t="s">
        <v>64</v>
      </c>
      <c r="G9" s="18" t="s">
        <v>65</v>
      </c>
      <c r="H9" s="18" t="s">
        <v>69</v>
      </c>
      <c r="I9" s="18" t="s">
        <v>67</v>
      </c>
      <c r="J9" s="192"/>
      <c r="K9" s="15" t="s">
        <v>8</v>
      </c>
      <c r="L9" s="15" t="s">
        <v>7</v>
      </c>
      <c r="M9" s="31" t="s">
        <v>68</v>
      </c>
      <c r="N9" s="31" t="s">
        <v>72</v>
      </c>
    </row>
    <row r="10" spans="1:15" s="2" customFormat="1" ht="30" customHeight="1" x14ac:dyDescent="0.25">
      <c r="A10" s="17">
        <v>1</v>
      </c>
      <c r="B10" s="6" t="s">
        <v>40</v>
      </c>
      <c r="C10" s="5">
        <v>69</v>
      </c>
      <c r="D10" s="5">
        <v>41</v>
      </c>
      <c r="E10" s="47">
        <f>D10</f>
        <v>41</v>
      </c>
      <c r="F10" s="55">
        <v>40.200000000000003</v>
      </c>
      <c r="G10" s="59">
        <f>(42.74+41.02+41.19+52.53+40.76+40.67+40.74+40.84+40.55+40.59+40.44+40.58+40.61+40.57+40.56+40.54+40.78+40.44+40.83+42.64+40.2+40.93+41.38+40.31+41.19+41.05+40.83+40.89+41.91+41.6+42.01+40.63+40.32+40.28+40.43+40.53+40.45+40.46+40.83+40.74)/40</f>
        <v>41.164750000000005</v>
      </c>
      <c r="H10" s="55">
        <v>1</v>
      </c>
      <c r="I10" s="59">
        <f>G10-F10</f>
        <v>0.96475000000000222</v>
      </c>
      <c r="J10" s="27">
        <v>1.9525462962962963E-2</v>
      </c>
      <c r="K10" s="27">
        <f>J10</f>
        <v>1.9525462962962963E-2</v>
      </c>
      <c r="L10" s="29">
        <f>K10</f>
        <v>1.9525462962962963E-2</v>
      </c>
      <c r="M10" s="34" t="s">
        <v>168</v>
      </c>
      <c r="N10" s="16">
        <v>-12</v>
      </c>
      <c r="O10" s="2" t="s">
        <v>73</v>
      </c>
    </row>
    <row r="11" spans="1:15" s="2" customFormat="1" ht="30" customHeight="1" x14ac:dyDescent="0.25">
      <c r="A11" s="17">
        <v>2</v>
      </c>
      <c r="B11" s="6" t="s">
        <v>133</v>
      </c>
      <c r="C11" s="5">
        <v>9</v>
      </c>
      <c r="D11" s="5">
        <v>75</v>
      </c>
      <c r="E11" s="47">
        <f>D11-D10</f>
        <v>34</v>
      </c>
      <c r="F11" s="55">
        <v>40.549999999999997</v>
      </c>
      <c r="G11" s="59">
        <f>(41.51+41.93+41.32+41.57+41.04+41.21+42.69+41.05+41.28+41.09+41.06+40.8+41.13+40.87+41.89+42.94+40.89+40.55+40.71+41.04+40.79+41.09+40.83+41.53+40.99+41.01+41.01+40.75+42.16+41.32+41.08+41.11+42.07)/33</f>
        <v>41.282121212121204</v>
      </c>
      <c r="H11" s="55">
        <v>0</v>
      </c>
      <c r="I11" s="59">
        <f t="shared" ref="I11:I13" si="0">G11-F11</f>
        <v>0.73212121212120707</v>
      </c>
      <c r="J11" s="27">
        <v>3.7013888888888888E-2</v>
      </c>
      <c r="K11" s="27">
        <f>J11-J10</f>
        <v>1.7488425925925925E-2</v>
      </c>
      <c r="L11" s="27">
        <f>K11</f>
        <v>1.7488425925925925E-2</v>
      </c>
      <c r="M11" s="34" t="s">
        <v>169</v>
      </c>
      <c r="N11" s="16">
        <v>11</v>
      </c>
      <c r="O11" s="2" t="s">
        <v>179</v>
      </c>
    </row>
    <row r="12" spans="1:15" s="2" customFormat="1" ht="30" customHeight="1" x14ac:dyDescent="0.25">
      <c r="A12" s="17">
        <v>3</v>
      </c>
      <c r="B12" s="6" t="s">
        <v>40</v>
      </c>
      <c r="C12" s="5">
        <v>13</v>
      </c>
      <c r="D12" s="5">
        <v>117</v>
      </c>
      <c r="E12" s="47">
        <f>D12-D11</f>
        <v>42</v>
      </c>
      <c r="F12" s="55">
        <v>40.630000000000003</v>
      </c>
      <c r="G12" s="59">
        <f>(41.22+41.61+40.89+40.73+40.63+40.84+40.69+41.18+41+41+41.06+41.13+41.18+40.79+41.55+40.82+40.78+40.99+41.12+41.75+41.54+40.97+40.88+41.23+40.95+40.81+41.25+41.92+41.45+40.07+41.28+41.45+41.05+41.95+40.86+40.75+41.21+40.76+41.17+40.94+41.42)/41</f>
        <v>41.094390243902438</v>
      </c>
      <c r="H12" s="55">
        <v>2</v>
      </c>
      <c r="I12" s="61">
        <f t="shared" si="0"/>
        <v>0.46439024390243588</v>
      </c>
      <c r="J12" s="27">
        <v>5.7754629629629628E-2</v>
      </c>
      <c r="K12" s="27">
        <f>J12-J11</f>
        <v>2.074074074074074E-2</v>
      </c>
      <c r="L12" s="29">
        <f>K12+K10</f>
        <v>4.0266203703703707E-2</v>
      </c>
      <c r="M12" s="34" t="s">
        <v>170</v>
      </c>
      <c r="N12" s="16"/>
    </row>
    <row r="13" spans="1:15" s="2" customFormat="1" ht="30" customHeight="1" thickBot="1" x14ac:dyDescent="0.3">
      <c r="A13" s="12" t="s">
        <v>17</v>
      </c>
      <c r="B13" s="6" t="s">
        <v>133</v>
      </c>
      <c r="C13" s="5">
        <v>5</v>
      </c>
      <c r="D13" s="10">
        <v>171</v>
      </c>
      <c r="E13" s="47">
        <f>D13-D12</f>
        <v>54</v>
      </c>
      <c r="F13" s="57">
        <v>40.53</v>
      </c>
      <c r="G13" s="121">
        <f>(41.97+40.53+40.72+41.09+41.09+41.13+41.3+40.63+40.81+41.11+40.89+40.76+40.82+40.85+40.84+40.96+40.6+40.8+40.76+40.78+40.71+40.78+41.79+40.58+41.15+40.91+40.99+40.77+43.92+41.33+41.13+40.96+41.29+40.88+40.85+40.97+40.73+40.62+40.75+40.86+40.86+40.65+41.7+40.71+40.67+41.47+40.75+40.87+40.87+41.09+40.73+41.06+41.56)/53</f>
        <v>41.007547169811325</v>
      </c>
      <c r="H13" s="57">
        <v>3</v>
      </c>
      <c r="I13" s="69">
        <f t="shared" si="0"/>
        <v>0.47754716981132361</v>
      </c>
      <c r="J13" s="58">
        <v>8.4189814814814815E-2</v>
      </c>
      <c r="K13" s="58">
        <f>J13-J12</f>
        <v>2.6435185185185187E-2</v>
      </c>
      <c r="L13" s="58">
        <f>K13+K11</f>
        <v>4.3923611111111108E-2</v>
      </c>
      <c r="M13" s="34"/>
      <c r="N13" s="16"/>
    </row>
    <row r="14" spans="1:15" s="2" customFormat="1" ht="30" customHeight="1" x14ac:dyDescent="0.25">
      <c r="A14" s="42"/>
      <c r="B14" s="43"/>
      <c r="C14" s="44"/>
      <c r="D14" s="44"/>
      <c r="E14" s="44"/>
      <c r="F14" s="113">
        <f>AVERAGE(F10,F12)</f>
        <v>40.415000000000006</v>
      </c>
      <c r="G14" s="114">
        <f>AVERAGE(G10,G12)</f>
        <v>41.129570121951218</v>
      </c>
      <c r="H14" s="114" t="s">
        <v>173</v>
      </c>
      <c r="I14" s="115">
        <f>AVERAGE(I10,I12)</f>
        <v>0.71457012195121905</v>
      </c>
      <c r="J14" s="44"/>
      <c r="K14" s="44"/>
      <c r="L14" s="44"/>
    </row>
    <row r="15" spans="1:15" ht="27.75" customHeight="1" x14ac:dyDescent="0.25">
      <c r="F15" s="106">
        <f>AVERAGE(F11,F13)</f>
        <v>40.54</v>
      </c>
      <c r="G15" s="64">
        <f>AVERAGE(G11,G13)</f>
        <v>41.144834190966264</v>
      </c>
      <c r="H15" s="64" t="s">
        <v>174</v>
      </c>
      <c r="I15" s="116">
        <f>AVERAGE(I11,I13)</f>
        <v>0.60483419096626534</v>
      </c>
      <c r="M15" s="2"/>
      <c r="N15" s="2"/>
    </row>
    <row r="16" spans="1:15" ht="27" customHeight="1" thickBot="1" x14ac:dyDescent="0.3">
      <c r="F16" s="124">
        <f>AVERAGE(F10:F13)</f>
        <v>40.477499999999999</v>
      </c>
      <c r="G16" s="125">
        <f>AVERAGE(G10:G13)</f>
        <v>41.137202156458741</v>
      </c>
      <c r="H16" s="125"/>
      <c r="I16" s="126">
        <f>AVERAGE(I10:I13)</f>
        <v>0.65970215645874219</v>
      </c>
    </row>
    <row r="17" spans="6:14" x14ac:dyDescent="0.25">
      <c r="F17" s="88"/>
      <c r="G17" s="88"/>
      <c r="H17" s="88"/>
      <c r="I17" s="88"/>
      <c r="J17" s="52"/>
    </row>
    <row r="18" spans="6:14" x14ac:dyDescent="0.25">
      <c r="F18" s="52"/>
      <c r="G18" s="52"/>
      <c r="H18" s="52"/>
      <c r="I18" s="52"/>
      <c r="J18" s="52"/>
    </row>
    <row r="19" spans="6:14" x14ac:dyDescent="0.25">
      <c r="F19" s="52"/>
      <c r="G19" s="52"/>
      <c r="H19" s="52"/>
      <c r="I19" s="52"/>
      <c r="J19" s="52"/>
      <c r="M19" s="1"/>
      <c r="N19" s="1"/>
    </row>
    <row r="20" spans="6:14" x14ac:dyDescent="0.25">
      <c r="M20" s="2"/>
      <c r="N20" s="2"/>
    </row>
    <row r="21" spans="6:14" x14ac:dyDescent="0.25">
      <c r="M21" s="2"/>
      <c r="N21" s="2"/>
    </row>
    <row r="22" spans="6:14" x14ac:dyDescent="0.25">
      <c r="M22" s="2"/>
      <c r="N22" s="2"/>
    </row>
  </sheetData>
  <mergeCells count="10">
    <mergeCell ref="A4:L4"/>
    <mergeCell ref="A6:L6"/>
    <mergeCell ref="A8:A9"/>
    <mergeCell ref="B8:B9"/>
    <mergeCell ref="D8:D9"/>
    <mergeCell ref="J8:J9"/>
    <mergeCell ref="K8:L8"/>
    <mergeCell ref="C8:C9"/>
    <mergeCell ref="E8:E9"/>
    <mergeCell ref="F8:I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O22"/>
  <sheetViews>
    <sheetView zoomScale="75" zoomScaleNormal="75" workbookViewId="0">
      <selection activeCell="A2" sqref="A1:XFD2"/>
    </sheetView>
  </sheetViews>
  <sheetFormatPr defaultRowHeight="15" x14ac:dyDescent="0.25"/>
  <cols>
    <col min="1" max="1" width="8.7109375" customWidth="1"/>
    <col min="2" max="2" width="30.7109375" customWidth="1"/>
    <col min="3" max="3" width="10.14062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3" max="13" width="9.28515625" customWidth="1"/>
    <col min="14" max="14" width="12.42578125" customWidth="1"/>
  </cols>
  <sheetData>
    <row r="4" spans="1:15" ht="18.75" x14ac:dyDescent="0.3">
      <c r="A4" s="188" t="s">
        <v>183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5" ht="7.5" customHeight="1" x14ac:dyDescent="0.25"/>
    <row r="6" spans="1:15" ht="17.25" x14ac:dyDescent="0.3">
      <c r="A6" s="200" t="s">
        <v>50</v>
      </c>
      <c r="B6" s="150"/>
      <c r="C6" s="150"/>
      <c r="D6" s="150"/>
      <c r="E6" s="150"/>
      <c r="F6" s="150"/>
      <c r="G6" s="150"/>
      <c r="H6" s="150"/>
      <c r="I6" s="150"/>
    </row>
    <row r="7" spans="1:15" ht="7.5" customHeight="1" x14ac:dyDescent="0.25"/>
    <row r="8" spans="1:15" s="1" customFormat="1" ht="23.25" customHeight="1" x14ac:dyDescent="0.25">
      <c r="A8" s="189" t="s">
        <v>11</v>
      </c>
      <c r="B8" s="190" t="s">
        <v>10</v>
      </c>
      <c r="C8" s="193" t="s">
        <v>62</v>
      </c>
      <c r="D8" s="190" t="s">
        <v>4</v>
      </c>
      <c r="E8" s="195" t="s">
        <v>71</v>
      </c>
      <c r="F8" s="197" t="s">
        <v>70</v>
      </c>
      <c r="G8" s="198"/>
      <c r="H8" s="198"/>
      <c r="I8" s="199"/>
      <c r="J8" s="191" t="s">
        <v>18</v>
      </c>
      <c r="K8" s="189" t="s">
        <v>9</v>
      </c>
      <c r="L8" s="189"/>
    </row>
    <row r="9" spans="1:15" s="1" customFormat="1" ht="27.75" customHeight="1" x14ac:dyDescent="0.25">
      <c r="A9" s="189"/>
      <c r="B9" s="190"/>
      <c r="C9" s="194"/>
      <c r="D9" s="190"/>
      <c r="E9" s="196"/>
      <c r="F9" s="16" t="s">
        <v>64</v>
      </c>
      <c r="G9" s="16" t="s">
        <v>65</v>
      </c>
      <c r="H9" s="16" t="s">
        <v>69</v>
      </c>
      <c r="I9" s="16" t="s">
        <v>67</v>
      </c>
      <c r="J9" s="192"/>
      <c r="K9" s="15" t="s">
        <v>8</v>
      </c>
      <c r="L9" s="15" t="s">
        <v>7</v>
      </c>
      <c r="M9" s="31" t="s">
        <v>68</v>
      </c>
      <c r="N9" s="31" t="s">
        <v>72</v>
      </c>
    </row>
    <row r="10" spans="1:15" s="2" customFormat="1" ht="30" customHeight="1" x14ac:dyDescent="0.25">
      <c r="A10" s="17">
        <v>1</v>
      </c>
      <c r="B10" s="6" t="s">
        <v>42</v>
      </c>
      <c r="C10" s="5">
        <v>3</v>
      </c>
      <c r="D10" s="5">
        <v>44</v>
      </c>
      <c r="E10" s="47">
        <f>D10</f>
        <v>44</v>
      </c>
      <c r="F10" s="55">
        <v>40.33</v>
      </c>
      <c r="G10" s="59">
        <f>(43.49+41.09+41.35+42.42+40.78+40.62+40.6+40.92+40.9+41.4+40.62+40.45+40.33+40.71+40.64+42.03+41.48+42.5+41.13+41.12+41.45+41.62+40.56+40.63+40.52+41.19+40.67+40.63+40.68+40.41+40.71+40.66+40.69+40.62+40.94+40.9+40.78+41.18+40.87+40.88+40.74+40.57+41.21)/43</f>
        <v>41.016046511627927</v>
      </c>
      <c r="H10" s="55">
        <v>1</v>
      </c>
      <c r="I10" s="32">
        <f>G10-F10</f>
        <v>0.68604651162792862</v>
      </c>
      <c r="J10" s="26">
        <v>2.1006944444444443E-2</v>
      </c>
      <c r="K10" s="26">
        <f>J10</f>
        <v>2.1006944444444443E-2</v>
      </c>
      <c r="L10" s="28">
        <f>K10</f>
        <v>2.1006944444444443E-2</v>
      </c>
      <c r="M10" s="34" t="s">
        <v>175</v>
      </c>
      <c r="N10" s="16">
        <v>-4</v>
      </c>
      <c r="O10" s="2" t="s">
        <v>142</v>
      </c>
    </row>
    <row r="11" spans="1:15" s="2" customFormat="1" ht="30" customHeight="1" x14ac:dyDescent="0.25">
      <c r="A11" s="17">
        <v>2</v>
      </c>
      <c r="B11" s="6" t="s">
        <v>51</v>
      </c>
      <c r="C11" s="5">
        <v>10</v>
      </c>
      <c r="D11" s="5">
        <v>87</v>
      </c>
      <c r="E11" s="47">
        <f>D11-D10</f>
        <v>43</v>
      </c>
      <c r="F11" s="55">
        <v>40.549999999999997</v>
      </c>
      <c r="G11" s="59">
        <f>(41.27+41.5+40.81+41.27+41.31+41.06+41.04+40.26+40.95+41.62+40.73+41.83+41.03+41.5+41.21+41.26+41.38+41.29+41.21+41.26+41.79+41.13+41.37+40.98+41.58+41.04+41.76+41.04+40.83+41.03+40.83+41.48+40.8+40.75+41.13+41.77+40.91+40.55+40.91+41.54+42.18)/42</f>
        <v>40.218809523809526</v>
      </c>
      <c r="H11" s="55">
        <v>0</v>
      </c>
      <c r="I11" s="46">
        <f t="shared" ref="I11:I13" si="0">G11-F11</f>
        <v>-0.33119047619047137</v>
      </c>
      <c r="J11" s="26">
        <v>4.2083333333333334E-2</v>
      </c>
      <c r="K11" s="26">
        <f>J11-J10</f>
        <v>2.1076388888888891E-2</v>
      </c>
      <c r="L11" s="28">
        <f>K11</f>
        <v>2.1076388888888891E-2</v>
      </c>
      <c r="M11" s="34" t="s">
        <v>176</v>
      </c>
      <c r="N11" s="16"/>
    </row>
    <row r="12" spans="1:15" s="2" customFormat="1" ht="30" customHeight="1" x14ac:dyDescent="0.25">
      <c r="A12" s="17">
        <v>3</v>
      </c>
      <c r="B12" s="6" t="s">
        <v>42</v>
      </c>
      <c r="C12" s="5">
        <v>7</v>
      </c>
      <c r="D12" s="5">
        <v>117</v>
      </c>
      <c r="E12" s="47">
        <f>D12-D11</f>
        <v>30</v>
      </c>
      <c r="F12" s="55">
        <v>40.29</v>
      </c>
      <c r="G12" s="59">
        <f>(40.4+40.6+1+40.61+40.38+40.29+40.49+40.38+40.34+40.64+40.71+40.88+41.41+40.75+40.82+41.46+41.38+41.45+41.58+42.26+43.67+43.34+43.14+42.58+43.3+43.29+43.79+46.56+45.63+47.93)/29</f>
        <v>42.105517241379317</v>
      </c>
      <c r="H12" s="55">
        <v>3</v>
      </c>
      <c r="I12" s="37">
        <f t="shared" si="0"/>
        <v>1.8155172413793181</v>
      </c>
      <c r="J12" s="26">
        <v>5.7499999999999996E-2</v>
      </c>
      <c r="K12" s="26">
        <f>J12-J11</f>
        <v>1.5416666666666662E-2</v>
      </c>
      <c r="L12" s="26">
        <f>K12+K10</f>
        <v>3.6423611111111101E-2</v>
      </c>
      <c r="M12" s="34" t="s">
        <v>177</v>
      </c>
      <c r="N12" s="16">
        <v>5</v>
      </c>
      <c r="O12" s="2" t="s">
        <v>178</v>
      </c>
    </row>
    <row r="13" spans="1:15" s="2" customFormat="1" ht="30" customHeight="1" thickBot="1" x14ac:dyDescent="0.3">
      <c r="A13" s="17" t="s">
        <v>17</v>
      </c>
      <c r="B13" s="6" t="s">
        <v>51</v>
      </c>
      <c r="C13" s="5">
        <v>9</v>
      </c>
      <c r="D13" s="5">
        <v>169</v>
      </c>
      <c r="E13" s="47">
        <f>D13-D12</f>
        <v>52</v>
      </c>
      <c r="F13" s="55">
        <v>40.880000000000003</v>
      </c>
      <c r="G13" s="59">
        <f>(41.23+41.66+41.67+41.43+42.12+41.18+41.72+41.92+41.16+41.36+41.18+41.35+40.98+41.99+42.5+41.43+41.32+41.35+41.4+41.32+41.22+41.49+41.73+41.38+41.46+41.96+41.24+42.1+40.88+41.96+41.45+41.07+41.17+43.7+41.56+41.42+42.02+41.98+41.93+41.4+41.32+41.34+41.01+42.01+40.96+42.25+41.34+41.5+41.51+41.59+41.86+41.63)/51</f>
        <v>42.386470588235305</v>
      </c>
      <c r="H13" s="55">
        <v>1</v>
      </c>
      <c r="I13" s="36">
        <f t="shared" si="0"/>
        <v>1.5064705882353024</v>
      </c>
      <c r="J13" s="26">
        <v>8.3761574074074072E-2</v>
      </c>
      <c r="K13" s="26">
        <f>J13-J12</f>
        <v>2.6261574074074076E-2</v>
      </c>
      <c r="L13" s="26">
        <f>K13+K11</f>
        <v>4.7337962962962971E-2</v>
      </c>
      <c r="M13" s="34"/>
      <c r="N13" s="16"/>
    </row>
    <row r="14" spans="1:15" s="2" customFormat="1" ht="30" hidden="1" customHeight="1" x14ac:dyDescent="0.25">
      <c r="A14" s="12"/>
      <c r="B14" s="9"/>
      <c r="C14" s="10"/>
      <c r="D14" s="10"/>
      <c r="E14" s="44"/>
      <c r="F14" s="10">
        <f>AVERAGE(F10:F13)</f>
        <v>40.512499999999996</v>
      </c>
      <c r="G14" s="65">
        <f>AVERAGE(G10:G13)</f>
        <v>41.431710966263019</v>
      </c>
      <c r="H14" s="10"/>
      <c r="I14" s="65">
        <f>AVERAGE(I10:I13)</f>
        <v>0.91921096626301946</v>
      </c>
      <c r="J14" s="10"/>
      <c r="K14" s="10"/>
      <c r="L14" s="10"/>
    </row>
    <row r="15" spans="1:15" s="2" customFormat="1" ht="30" customHeight="1" x14ac:dyDescent="0.25">
      <c r="A15" s="42"/>
      <c r="B15" s="43"/>
      <c r="C15" s="43"/>
      <c r="D15" s="44"/>
      <c r="E15" s="44"/>
      <c r="F15" s="113">
        <f>AVERAGE(F11,F13)</f>
        <v>40.715000000000003</v>
      </c>
      <c r="G15" s="114">
        <f>AVERAGE(G11,G13)</f>
        <v>41.302640056022412</v>
      </c>
      <c r="H15" s="114" t="s">
        <v>171</v>
      </c>
      <c r="I15" s="115">
        <f>AVERAGE(I11,I13)</f>
        <v>0.58764005602241554</v>
      </c>
      <c r="J15" s="44"/>
      <c r="K15" s="44"/>
      <c r="L15" s="44"/>
    </row>
    <row r="16" spans="1:15" ht="27.75" customHeight="1" x14ac:dyDescent="0.25">
      <c r="A16" s="51"/>
      <c r="B16" s="51"/>
      <c r="C16" s="51"/>
      <c r="D16" s="52"/>
      <c r="E16" s="52"/>
      <c r="F16" s="106">
        <f>AVERAGE(F12,F14)</f>
        <v>40.401249999999997</v>
      </c>
      <c r="G16" s="64">
        <f>AVERAGE(G12,G14)</f>
        <v>41.768614103821164</v>
      </c>
      <c r="H16" s="64" t="s">
        <v>172</v>
      </c>
      <c r="I16" s="116">
        <f>AVERAGE(I12,I14)</f>
        <v>1.3673641038211688</v>
      </c>
      <c r="J16" s="51"/>
      <c r="K16" s="51"/>
      <c r="L16" s="51"/>
    </row>
    <row r="17" spans="1:9" s="2" customFormat="1" ht="27" customHeight="1" thickBot="1" x14ac:dyDescent="0.3">
      <c r="D17" s="22"/>
      <c r="E17" s="22"/>
      <c r="F17" s="124">
        <f>AVERAGE(F11:F14)</f>
        <v>40.558124999999997</v>
      </c>
      <c r="G17" s="125">
        <f>AVERAGE(G11:G14)</f>
        <v>41.535627079921788</v>
      </c>
      <c r="H17" s="125"/>
      <c r="I17" s="126">
        <f>AVERAGE(I11:I14)</f>
        <v>0.97750207992179217</v>
      </c>
    </row>
    <row r="18" spans="1:9" ht="20.25" hidden="1" customHeight="1" x14ac:dyDescent="0.25">
      <c r="A18" s="190" t="s">
        <v>6</v>
      </c>
      <c r="B18" s="176" t="s">
        <v>5</v>
      </c>
      <c r="C18" s="17"/>
      <c r="D18" s="176" t="s">
        <v>4</v>
      </c>
      <c r="E18" s="12"/>
      <c r="F18" s="123"/>
      <c r="G18" s="123"/>
      <c r="H18" s="123"/>
      <c r="I18" s="123"/>
    </row>
    <row r="19" spans="1:9" s="1" customFormat="1" ht="20.25" hidden="1" customHeight="1" x14ac:dyDescent="0.25">
      <c r="A19" s="190"/>
      <c r="B19" s="176"/>
      <c r="C19" s="17"/>
      <c r="D19" s="176"/>
      <c r="E19" s="11"/>
      <c r="F19" s="11"/>
      <c r="G19" s="11"/>
      <c r="H19" s="11"/>
      <c r="I19" s="11"/>
    </row>
    <row r="20" spans="1:9" s="2" customFormat="1" ht="30" hidden="1" customHeight="1" x14ac:dyDescent="0.25">
      <c r="A20" s="17">
        <v>1</v>
      </c>
      <c r="B20" s="4"/>
      <c r="C20" s="4"/>
      <c r="D20" s="17"/>
      <c r="E20" s="17"/>
      <c r="F20" s="17"/>
      <c r="G20" s="17"/>
      <c r="H20" s="17"/>
      <c r="I20" s="17"/>
    </row>
    <row r="21" spans="1:9" s="2" customFormat="1" ht="30" hidden="1" customHeight="1" x14ac:dyDescent="0.25">
      <c r="A21" s="17">
        <v>2</v>
      </c>
      <c r="B21" s="4"/>
      <c r="C21" s="4"/>
      <c r="D21" s="17"/>
      <c r="E21" s="17"/>
      <c r="F21" s="17"/>
      <c r="G21" s="17"/>
      <c r="H21" s="17"/>
      <c r="I21" s="17"/>
    </row>
    <row r="22" spans="1:9" s="2" customFormat="1" ht="30" hidden="1" customHeight="1" x14ac:dyDescent="0.25">
      <c r="A22" s="17">
        <v>3</v>
      </c>
      <c r="B22" s="4"/>
      <c r="C22" s="4"/>
      <c r="D22" s="17"/>
      <c r="E22" s="17"/>
      <c r="F22" s="17"/>
      <c r="G22" s="17"/>
      <c r="H22" s="17"/>
      <c r="I22" s="17"/>
    </row>
  </sheetData>
  <mergeCells count="13">
    <mergeCell ref="A4:L4"/>
    <mergeCell ref="A18:A19"/>
    <mergeCell ref="B18:B19"/>
    <mergeCell ref="D18:D19"/>
    <mergeCell ref="A6:I6"/>
    <mergeCell ref="A8:A9"/>
    <mergeCell ref="B8:B9"/>
    <mergeCell ref="D8:D9"/>
    <mergeCell ref="J8:J9"/>
    <mergeCell ref="K8:L8"/>
    <mergeCell ref="C8:C9"/>
    <mergeCell ref="E8:E9"/>
    <mergeCell ref="F8:I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8"/>
  <sheetViews>
    <sheetView tabSelected="1" topLeftCell="A8" zoomScale="60" zoomScaleNormal="60" workbookViewId="0">
      <selection activeCell="F18" sqref="F18"/>
    </sheetView>
  </sheetViews>
  <sheetFormatPr defaultRowHeight="15" x14ac:dyDescent="0.25"/>
  <cols>
    <col min="2" max="2" width="35.42578125" customWidth="1"/>
    <col min="3" max="3" width="41.28515625" customWidth="1"/>
    <col min="4" max="4" width="8.42578125" customWidth="1"/>
    <col min="5" max="7" width="11.28515625" customWidth="1"/>
  </cols>
  <sheetData>
    <row r="1" spans="1:9" ht="48" customHeight="1" x14ac:dyDescent="0.25">
      <c r="A1" s="170" t="s">
        <v>184</v>
      </c>
      <c r="B1" s="170"/>
      <c r="C1" s="170"/>
      <c r="D1" s="170"/>
      <c r="E1" s="170"/>
      <c r="F1" s="170"/>
      <c r="G1" s="170"/>
      <c r="H1" s="170"/>
      <c r="I1" s="170"/>
    </row>
    <row r="2" spans="1:9" ht="5.25" customHeight="1" x14ac:dyDescent="0.25"/>
    <row r="3" spans="1:9" ht="19.5" customHeight="1" x14ac:dyDescent="0.35">
      <c r="A3" s="161" t="s">
        <v>16</v>
      </c>
      <c r="B3" s="161"/>
      <c r="C3" s="161"/>
      <c r="D3" s="161"/>
      <c r="E3" s="161"/>
      <c r="F3" s="161"/>
      <c r="G3" s="161"/>
    </row>
    <row r="4" spans="1:9" ht="15.75" customHeight="1" thickBot="1" x14ac:dyDescent="0.35">
      <c r="A4" s="19"/>
      <c r="B4" s="19"/>
      <c r="C4" s="19"/>
      <c r="D4" s="19"/>
      <c r="E4" s="19"/>
      <c r="F4" s="19"/>
      <c r="G4" s="19"/>
    </row>
    <row r="5" spans="1:9" s="1" customFormat="1" ht="30" customHeight="1" x14ac:dyDescent="0.25">
      <c r="A5" s="162" t="s">
        <v>14</v>
      </c>
      <c r="B5" s="164" t="s">
        <v>12</v>
      </c>
      <c r="C5" s="166" t="s">
        <v>10</v>
      </c>
      <c r="D5" s="166" t="s">
        <v>13</v>
      </c>
      <c r="E5" s="168" t="s">
        <v>15</v>
      </c>
      <c r="F5" s="210" t="s">
        <v>59</v>
      </c>
      <c r="G5" s="211"/>
      <c r="H5" s="211"/>
      <c r="I5" s="212"/>
    </row>
    <row r="6" spans="1:9" s="1" customFormat="1" ht="30" customHeight="1" thickBot="1" x14ac:dyDescent="0.3">
      <c r="A6" s="163"/>
      <c r="B6" s="165"/>
      <c r="C6" s="167"/>
      <c r="D6" s="167"/>
      <c r="E6" s="169"/>
      <c r="F6" s="23" t="s">
        <v>19</v>
      </c>
      <c r="G6" s="132" t="s">
        <v>10</v>
      </c>
      <c r="H6" s="141" t="s">
        <v>61</v>
      </c>
      <c r="I6" s="142" t="s">
        <v>60</v>
      </c>
    </row>
    <row r="7" spans="1:9" s="2" customFormat="1" ht="30" customHeight="1" x14ac:dyDescent="0.25">
      <c r="A7" s="171">
        <v>1</v>
      </c>
      <c r="B7" s="173" t="s">
        <v>44</v>
      </c>
      <c r="C7" s="143" t="s">
        <v>63</v>
      </c>
      <c r="D7" s="21" t="s">
        <v>36</v>
      </c>
      <c r="E7" s="217">
        <v>102</v>
      </c>
      <c r="F7" s="24"/>
      <c r="G7" s="133">
        <v>40.28</v>
      </c>
      <c r="H7" s="175">
        <f>AVERAGE(G7:G8)</f>
        <v>40.39</v>
      </c>
      <c r="I7" s="177">
        <v>7</v>
      </c>
    </row>
    <row r="8" spans="1:9" s="2" customFormat="1" ht="30" customHeight="1" x14ac:dyDescent="0.25">
      <c r="A8" s="172"/>
      <c r="B8" s="174"/>
      <c r="C8" s="144" t="s">
        <v>46</v>
      </c>
      <c r="D8" s="20" t="s">
        <v>37</v>
      </c>
      <c r="E8" s="218">
        <v>94</v>
      </c>
      <c r="F8" s="25">
        <v>3</v>
      </c>
      <c r="G8" s="5">
        <v>40.5</v>
      </c>
      <c r="H8" s="176"/>
      <c r="I8" s="178"/>
    </row>
    <row r="9" spans="1:9" s="2" customFormat="1" ht="30" customHeight="1" x14ac:dyDescent="0.25">
      <c r="A9" s="171">
        <v>2</v>
      </c>
      <c r="B9" s="173" t="s">
        <v>50</v>
      </c>
      <c r="C9" s="143" t="s">
        <v>51</v>
      </c>
      <c r="D9" s="21" t="s">
        <v>52</v>
      </c>
      <c r="E9" s="13">
        <v>63</v>
      </c>
      <c r="F9" s="25">
        <v>5</v>
      </c>
      <c r="G9" s="5">
        <v>40.909999999999997</v>
      </c>
      <c r="H9" s="176">
        <f t="shared" ref="H9" si="0">AVERAGE(G9:G10)</f>
        <v>40.43</v>
      </c>
      <c r="I9" s="178">
        <v>8</v>
      </c>
    </row>
    <row r="10" spans="1:9" s="2" customFormat="1" ht="30" customHeight="1" x14ac:dyDescent="0.25">
      <c r="A10" s="172"/>
      <c r="B10" s="174"/>
      <c r="C10" s="144" t="s">
        <v>42</v>
      </c>
      <c r="D10" s="20" t="s">
        <v>53</v>
      </c>
      <c r="E10" s="14">
        <v>74</v>
      </c>
      <c r="F10" s="25">
        <v>4</v>
      </c>
      <c r="G10" s="5">
        <v>39.950000000000003</v>
      </c>
      <c r="H10" s="176"/>
      <c r="I10" s="178"/>
    </row>
    <row r="11" spans="1:9" s="2" customFormat="1" ht="30" customHeight="1" x14ac:dyDescent="0.25">
      <c r="A11" s="172">
        <v>3</v>
      </c>
      <c r="B11" s="174" t="s">
        <v>23</v>
      </c>
      <c r="C11" s="144" t="s">
        <v>111</v>
      </c>
      <c r="D11" s="20" t="s">
        <v>28</v>
      </c>
      <c r="E11" s="14">
        <v>75</v>
      </c>
      <c r="F11" s="25">
        <v>9</v>
      </c>
      <c r="G11" s="5">
        <v>40.270000000000003</v>
      </c>
      <c r="H11" s="176">
        <f t="shared" ref="H11" si="1">AVERAGE(G11:G12)</f>
        <v>40.085000000000001</v>
      </c>
      <c r="I11" s="178">
        <v>2</v>
      </c>
    </row>
    <row r="12" spans="1:9" s="2" customFormat="1" ht="30" customHeight="1" x14ac:dyDescent="0.25">
      <c r="A12" s="172"/>
      <c r="B12" s="174"/>
      <c r="C12" s="144" t="s">
        <v>22</v>
      </c>
      <c r="D12" s="20" t="s">
        <v>29</v>
      </c>
      <c r="E12" s="218">
        <v>87</v>
      </c>
      <c r="F12" s="25">
        <v>5</v>
      </c>
      <c r="G12" s="5">
        <v>39.9</v>
      </c>
      <c r="H12" s="176"/>
      <c r="I12" s="178"/>
    </row>
    <row r="13" spans="1:9" s="2" customFormat="1" ht="30" customHeight="1" x14ac:dyDescent="0.25">
      <c r="A13" s="171">
        <v>4</v>
      </c>
      <c r="B13" s="173" t="s">
        <v>101</v>
      </c>
      <c r="C13" s="143" t="s">
        <v>112</v>
      </c>
      <c r="D13" s="21" t="s">
        <v>45</v>
      </c>
      <c r="E13" s="13">
        <v>80</v>
      </c>
      <c r="F13" s="25">
        <v>7</v>
      </c>
      <c r="G13" s="5">
        <v>40.06</v>
      </c>
      <c r="H13" s="176">
        <f t="shared" ref="H13" si="2">AVERAGE(G13:G14)</f>
        <v>40.185000000000002</v>
      </c>
      <c r="I13" s="178">
        <v>4</v>
      </c>
    </row>
    <row r="14" spans="1:9" s="2" customFormat="1" ht="30" customHeight="1" x14ac:dyDescent="0.25">
      <c r="A14" s="172"/>
      <c r="B14" s="174"/>
      <c r="C14" s="144" t="s">
        <v>35</v>
      </c>
      <c r="D14" s="20" t="s">
        <v>47</v>
      </c>
      <c r="E14" s="14">
        <v>70</v>
      </c>
      <c r="F14" s="25">
        <v>3</v>
      </c>
      <c r="G14" s="5">
        <v>40.31</v>
      </c>
      <c r="H14" s="176"/>
      <c r="I14" s="178"/>
    </row>
    <row r="15" spans="1:9" s="2" customFormat="1" ht="30" customHeight="1" x14ac:dyDescent="0.25">
      <c r="A15" s="172">
        <v>5</v>
      </c>
      <c r="B15" s="174" t="s">
        <v>38</v>
      </c>
      <c r="C15" s="144" t="s">
        <v>34</v>
      </c>
      <c r="D15" s="20" t="s">
        <v>56</v>
      </c>
      <c r="E15" s="218">
        <v>84</v>
      </c>
      <c r="F15" s="25">
        <v>8</v>
      </c>
      <c r="G15" s="5">
        <v>40.1</v>
      </c>
      <c r="H15" s="176">
        <f t="shared" ref="H15" si="3">AVERAGE(G15:G16)</f>
        <v>40.260000000000005</v>
      </c>
      <c r="I15" s="178">
        <v>5</v>
      </c>
    </row>
    <row r="16" spans="1:9" s="2" customFormat="1" ht="30" customHeight="1" x14ac:dyDescent="0.25">
      <c r="A16" s="179"/>
      <c r="B16" s="180"/>
      <c r="C16" s="145" t="s">
        <v>113</v>
      </c>
      <c r="D16" s="54" t="s">
        <v>57</v>
      </c>
      <c r="E16" s="53">
        <v>70</v>
      </c>
      <c r="F16" s="25">
        <v>7</v>
      </c>
      <c r="G16" s="5">
        <v>40.42</v>
      </c>
      <c r="H16" s="176"/>
      <c r="I16" s="178"/>
    </row>
    <row r="17" spans="1:9" ht="27.75" customHeight="1" x14ac:dyDescent="0.25">
      <c r="A17" s="172">
        <v>6</v>
      </c>
      <c r="B17" s="174" t="s">
        <v>97</v>
      </c>
      <c r="C17" s="144" t="s">
        <v>114</v>
      </c>
      <c r="D17" s="20" t="s">
        <v>115</v>
      </c>
      <c r="E17" s="213" t="s">
        <v>116</v>
      </c>
      <c r="F17" s="216" t="s">
        <v>190</v>
      </c>
      <c r="G17" s="131">
        <v>40.299999999999997</v>
      </c>
      <c r="H17" s="176">
        <f t="shared" ref="H17" si="4">AVERAGE(G17:G18)</f>
        <v>40.314999999999998</v>
      </c>
      <c r="I17" s="178">
        <v>6</v>
      </c>
    </row>
    <row r="18" spans="1:9" ht="27.75" customHeight="1" x14ac:dyDescent="0.25">
      <c r="A18" s="172"/>
      <c r="B18" s="174"/>
      <c r="C18" s="144" t="s">
        <v>117</v>
      </c>
      <c r="D18" s="20" t="s">
        <v>118</v>
      </c>
      <c r="E18" s="219" t="s">
        <v>119</v>
      </c>
      <c r="F18" s="216" t="s">
        <v>187</v>
      </c>
      <c r="G18" s="131">
        <v>40.33</v>
      </c>
      <c r="H18" s="176"/>
      <c r="I18" s="178"/>
    </row>
    <row r="19" spans="1:9" ht="29.25" customHeight="1" x14ac:dyDescent="0.25">
      <c r="A19" s="171">
        <v>7</v>
      </c>
      <c r="B19" s="173" t="s">
        <v>120</v>
      </c>
      <c r="C19" s="143" t="s">
        <v>121</v>
      </c>
      <c r="D19" s="21" t="s">
        <v>30</v>
      </c>
      <c r="E19" s="214" t="s">
        <v>122</v>
      </c>
      <c r="F19" s="216" t="s">
        <v>189</v>
      </c>
      <c r="G19" s="131">
        <v>40.69</v>
      </c>
      <c r="H19" s="181">
        <f t="shared" ref="H19" si="5">AVERAGE(G19:G20)</f>
        <v>40.51</v>
      </c>
      <c r="I19" s="178">
        <v>10</v>
      </c>
    </row>
    <row r="20" spans="1:9" ht="29.25" customHeight="1" x14ac:dyDescent="0.25">
      <c r="A20" s="172"/>
      <c r="B20" s="174"/>
      <c r="C20" s="144" t="s">
        <v>27</v>
      </c>
      <c r="D20" s="20" t="s">
        <v>31</v>
      </c>
      <c r="E20" s="219" t="s">
        <v>119</v>
      </c>
      <c r="F20" s="216" t="s">
        <v>187</v>
      </c>
      <c r="G20" s="131">
        <v>40.33</v>
      </c>
      <c r="H20" s="181"/>
      <c r="I20" s="178"/>
    </row>
    <row r="21" spans="1:9" ht="29.25" customHeight="1" x14ac:dyDescent="0.25">
      <c r="A21" s="172">
        <v>8</v>
      </c>
      <c r="B21" s="174" t="s">
        <v>20</v>
      </c>
      <c r="C21" s="144" t="s">
        <v>21</v>
      </c>
      <c r="D21" s="20" t="s">
        <v>41</v>
      </c>
      <c r="E21" s="213" t="s">
        <v>123</v>
      </c>
      <c r="F21" s="216" t="s">
        <v>189</v>
      </c>
      <c r="G21" s="131">
        <v>40.49</v>
      </c>
      <c r="H21" s="176">
        <f t="shared" ref="H21" si="6">AVERAGE(G21:G22)</f>
        <v>40.505000000000003</v>
      </c>
      <c r="I21" s="178">
        <v>9</v>
      </c>
    </row>
    <row r="22" spans="1:9" ht="29.25" customHeight="1" x14ac:dyDescent="0.25">
      <c r="A22" s="172"/>
      <c r="B22" s="174"/>
      <c r="C22" s="144" t="s">
        <v>124</v>
      </c>
      <c r="D22" s="20" t="s">
        <v>43</v>
      </c>
      <c r="E22" s="213" t="s">
        <v>116</v>
      </c>
      <c r="F22" s="216" t="s">
        <v>188</v>
      </c>
      <c r="G22" s="131">
        <v>40.520000000000003</v>
      </c>
      <c r="H22" s="176"/>
      <c r="I22" s="178"/>
    </row>
    <row r="23" spans="1:9" ht="29.25" customHeight="1" x14ac:dyDescent="0.25">
      <c r="A23" s="171">
        <v>9</v>
      </c>
      <c r="B23" s="173" t="s">
        <v>125</v>
      </c>
      <c r="C23" s="143" t="s">
        <v>26</v>
      </c>
      <c r="D23" s="21" t="s">
        <v>48</v>
      </c>
      <c r="E23" s="214" t="s">
        <v>126</v>
      </c>
      <c r="F23" s="216" t="s">
        <v>188</v>
      </c>
      <c r="G23" s="131">
        <v>39.799999999999997</v>
      </c>
      <c r="H23" s="176">
        <f t="shared" ref="H23" si="7">AVERAGE(G23:G24)</f>
        <v>40.049999999999997</v>
      </c>
      <c r="I23" s="178">
        <v>1</v>
      </c>
    </row>
    <row r="24" spans="1:9" ht="29.25" customHeight="1" x14ac:dyDescent="0.25">
      <c r="A24" s="172"/>
      <c r="B24" s="174"/>
      <c r="C24" s="144" t="s">
        <v>55</v>
      </c>
      <c r="D24" s="20" t="s">
        <v>49</v>
      </c>
      <c r="E24" s="213" t="s">
        <v>127</v>
      </c>
      <c r="F24" s="216" t="s">
        <v>186</v>
      </c>
      <c r="G24" s="131">
        <v>40.299999999999997</v>
      </c>
      <c r="H24" s="176"/>
      <c r="I24" s="178"/>
    </row>
    <row r="25" spans="1:9" ht="29.25" customHeight="1" x14ac:dyDescent="0.25">
      <c r="A25" s="172">
        <v>10</v>
      </c>
      <c r="B25" s="174" t="s">
        <v>128</v>
      </c>
      <c r="C25" s="144" t="s">
        <v>54</v>
      </c>
      <c r="D25" s="20" t="s">
        <v>32</v>
      </c>
      <c r="E25" s="219" t="s">
        <v>129</v>
      </c>
      <c r="F25" s="216" t="s">
        <v>185</v>
      </c>
      <c r="G25" s="131">
        <v>39.93</v>
      </c>
      <c r="H25" s="176">
        <f t="shared" ref="H25:H27" si="8">AVERAGE(G25:G26)</f>
        <v>40.105000000000004</v>
      </c>
      <c r="I25" s="178">
        <v>3</v>
      </c>
    </row>
    <row r="26" spans="1:9" ht="29.25" customHeight="1" x14ac:dyDescent="0.25">
      <c r="A26" s="179"/>
      <c r="B26" s="180"/>
      <c r="C26" s="145" t="s">
        <v>130</v>
      </c>
      <c r="D26" s="54" t="s">
        <v>33</v>
      </c>
      <c r="E26" s="215" t="s">
        <v>123</v>
      </c>
      <c r="F26" s="216" t="s">
        <v>186</v>
      </c>
      <c r="G26" s="131">
        <v>40.28</v>
      </c>
      <c r="H26" s="176"/>
      <c r="I26" s="178"/>
    </row>
    <row r="27" spans="1:9" ht="27.75" customHeight="1" x14ac:dyDescent="0.25">
      <c r="A27" s="182">
        <v>11</v>
      </c>
      <c r="B27" s="184" t="s">
        <v>131</v>
      </c>
      <c r="C27" s="146" t="s">
        <v>40</v>
      </c>
      <c r="D27" s="35" t="s">
        <v>132</v>
      </c>
      <c r="E27" s="71">
        <v>80</v>
      </c>
      <c r="F27" s="138">
        <v>2</v>
      </c>
      <c r="G27" s="131">
        <v>40.65</v>
      </c>
      <c r="H27" s="176">
        <f t="shared" si="8"/>
        <v>40.995000000000005</v>
      </c>
      <c r="I27" s="178">
        <v>11</v>
      </c>
    </row>
    <row r="28" spans="1:9" ht="25.5" customHeight="1" thickBot="1" x14ac:dyDescent="0.3">
      <c r="A28" s="183"/>
      <c r="B28" s="185"/>
      <c r="C28" s="147" t="s">
        <v>133</v>
      </c>
      <c r="D28" s="139" t="s">
        <v>134</v>
      </c>
      <c r="E28" s="220">
        <v>88</v>
      </c>
      <c r="F28" s="140">
        <v>1</v>
      </c>
      <c r="G28" s="141">
        <v>41.34</v>
      </c>
      <c r="H28" s="186"/>
      <c r="I28" s="187"/>
    </row>
  </sheetData>
  <mergeCells count="52">
    <mergeCell ref="A21:A22"/>
    <mergeCell ref="B21:B22"/>
    <mergeCell ref="H21:H22"/>
    <mergeCell ref="I21:I22"/>
    <mergeCell ref="A27:A28"/>
    <mergeCell ref="B27:B28"/>
    <mergeCell ref="H27:H28"/>
    <mergeCell ref="I27:I28"/>
    <mergeCell ref="A23:A24"/>
    <mergeCell ref="B23:B24"/>
    <mergeCell ref="H23:H24"/>
    <mergeCell ref="I23:I24"/>
    <mergeCell ref="A25:A26"/>
    <mergeCell ref="B25:B26"/>
    <mergeCell ref="H25:H26"/>
    <mergeCell ref="I25:I26"/>
    <mergeCell ref="A17:A18"/>
    <mergeCell ref="B17:B18"/>
    <mergeCell ref="H17:H18"/>
    <mergeCell ref="I17:I18"/>
    <mergeCell ref="A19:A20"/>
    <mergeCell ref="B19:B20"/>
    <mergeCell ref="H19:H20"/>
    <mergeCell ref="I19:I20"/>
    <mergeCell ref="A13:A14"/>
    <mergeCell ref="B13:B14"/>
    <mergeCell ref="H13:H14"/>
    <mergeCell ref="I13:I14"/>
    <mergeCell ref="A15:A16"/>
    <mergeCell ref="B15:B16"/>
    <mergeCell ref="H15:H16"/>
    <mergeCell ref="I15:I16"/>
    <mergeCell ref="A9:A10"/>
    <mergeCell ref="B9:B10"/>
    <mergeCell ref="H9:H10"/>
    <mergeCell ref="I9:I10"/>
    <mergeCell ref="A11:A12"/>
    <mergeCell ref="B11:B12"/>
    <mergeCell ref="H11:H12"/>
    <mergeCell ref="I11:I12"/>
    <mergeCell ref="A1:I1"/>
    <mergeCell ref="A7:A8"/>
    <mergeCell ref="B7:B8"/>
    <mergeCell ref="H7:H8"/>
    <mergeCell ref="I7:I8"/>
    <mergeCell ref="F5:I5"/>
    <mergeCell ref="A3:G3"/>
    <mergeCell ref="A5:A6"/>
    <mergeCell ref="B5:B6"/>
    <mergeCell ref="C5:C6"/>
    <mergeCell ref="D5:D6"/>
    <mergeCell ref="E5:E6"/>
  </mergeCells>
  <pageMargins left="0.31496062992125984" right="0.31496062992125984" top="0.15748031496062992" bottom="0.11811023622047245" header="0.31496062992125984" footer="0.31496062992125984"/>
  <pageSetup paperSize="9" scale="74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O22"/>
  <sheetViews>
    <sheetView zoomScale="75" zoomScaleNormal="75" workbookViewId="0">
      <selection activeCell="C12" sqref="C12:C13"/>
    </sheetView>
  </sheetViews>
  <sheetFormatPr defaultRowHeight="15" x14ac:dyDescent="0.25"/>
  <cols>
    <col min="1" max="1" width="8.7109375" customWidth="1"/>
    <col min="2" max="2" width="30.7109375" customWidth="1"/>
    <col min="3" max="3" width="9.4257812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11.42578125" customWidth="1"/>
    <col min="14" max="14" width="12.42578125" customWidth="1"/>
  </cols>
  <sheetData>
    <row r="4" spans="1:15" ht="18.75" x14ac:dyDescent="0.3">
      <c r="A4" s="188" t="s">
        <v>183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5" ht="7.5" customHeight="1" x14ac:dyDescent="0.25"/>
    <row r="6" spans="1:15" ht="17.25" x14ac:dyDescent="0.3">
      <c r="A6" s="150" t="s">
        <v>97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5" ht="7.5" customHeight="1" x14ac:dyDescent="0.25"/>
    <row r="8" spans="1:15" s="1" customFormat="1" ht="20.25" customHeight="1" x14ac:dyDescent="0.25">
      <c r="A8" s="189" t="s">
        <v>11</v>
      </c>
      <c r="B8" s="190" t="s">
        <v>10</v>
      </c>
      <c r="C8" s="193" t="s">
        <v>19</v>
      </c>
      <c r="D8" s="190" t="s">
        <v>4</v>
      </c>
      <c r="E8" s="195" t="s">
        <v>71</v>
      </c>
      <c r="F8" s="197" t="s">
        <v>74</v>
      </c>
      <c r="G8" s="198"/>
      <c r="H8" s="198"/>
      <c r="I8" s="199"/>
      <c r="J8" s="191" t="s">
        <v>18</v>
      </c>
      <c r="K8" s="189" t="s">
        <v>9</v>
      </c>
      <c r="L8" s="189"/>
    </row>
    <row r="9" spans="1:15" s="1" customFormat="1" ht="27.75" customHeight="1" thickBot="1" x14ac:dyDescent="0.3">
      <c r="A9" s="189"/>
      <c r="B9" s="190"/>
      <c r="C9" s="194"/>
      <c r="D9" s="190"/>
      <c r="E9" s="196"/>
      <c r="F9" s="18" t="s">
        <v>64</v>
      </c>
      <c r="G9" s="18" t="s">
        <v>65</v>
      </c>
      <c r="H9" s="18" t="s">
        <v>69</v>
      </c>
      <c r="I9" s="16" t="s">
        <v>67</v>
      </c>
      <c r="J9" s="192"/>
      <c r="K9" s="15" t="s">
        <v>8</v>
      </c>
      <c r="L9" s="15" t="s">
        <v>7</v>
      </c>
      <c r="M9" s="31" t="s">
        <v>68</v>
      </c>
      <c r="N9" s="31" t="s">
        <v>72</v>
      </c>
    </row>
    <row r="10" spans="1:15" s="2" customFormat="1" ht="30" customHeight="1" thickBot="1" x14ac:dyDescent="0.3">
      <c r="A10" s="17">
        <v>1</v>
      </c>
      <c r="B10" s="6" t="s">
        <v>117</v>
      </c>
      <c r="C10" s="5">
        <v>8</v>
      </c>
      <c r="D10" s="5">
        <v>44</v>
      </c>
      <c r="E10" s="47">
        <f>D10</f>
        <v>44</v>
      </c>
      <c r="F10" s="50">
        <v>39.81</v>
      </c>
      <c r="G10" s="60">
        <f>(40.85+41.5+41.05+40.87+40.58+40.71+40.68+40.08+40.09+40.02+39.81+40.51+40.44+40.86+40.47+39.83+41.77+41.29+39.84+40.56+41.01+41.07+40.14+41.03+40.1+40.12+40.01+40.37+40.03+40.12+39.86+40.01+40.09+40.06+40.04+40.24+40.12+40.28+40.25+40.36+40.19+40.19+41.34)/43</f>
        <v>40.438139534883703</v>
      </c>
      <c r="H10" s="55">
        <v>3</v>
      </c>
      <c r="I10" s="32">
        <f>G10-F10</f>
        <v>0.62813953488370089</v>
      </c>
      <c r="J10" s="27">
        <v>2.0694444444444446E-2</v>
      </c>
      <c r="K10" s="27">
        <f>J10</f>
        <v>2.0694444444444446E-2</v>
      </c>
      <c r="L10" s="29">
        <f>K10</f>
        <v>2.0694444444444446E-2</v>
      </c>
      <c r="M10" s="34" t="s">
        <v>135</v>
      </c>
      <c r="N10" s="16">
        <v>-8</v>
      </c>
      <c r="O10" s="2" t="s">
        <v>73</v>
      </c>
    </row>
    <row r="11" spans="1:15" s="2" customFormat="1" ht="30" customHeight="1" thickBot="1" x14ac:dyDescent="0.3">
      <c r="A11" s="17">
        <v>2</v>
      </c>
      <c r="B11" s="6" t="s">
        <v>117</v>
      </c>
      <c r="C11" s="5">
        <v>6</v>
      </c>
      <c r="D11" s="5">
        <v>72</v>
      </c>
      <c r="E11" s="47">
        <f>D11-D10</f>
        <v>28</v>
      </c>
      <c r="F11" s="112">
        <v>40.21</v>
      </c>
      <c r="G11" s="108">
        <f>(41.92+40.67+40.85+40.62+40.55+41.27+40.32+40.26+40.21+40.53+40.3+40.21+40.39+40.29+40.58+40.38+40.29+40.45+40.34+40.58+40.44+40.41+41.84+40.98+40.84+40.72+40.78)/27</f>
        <v>40.630370370370372</v>
      </c>
      <c r="H11" s="55">
        <v>6</v>
      </c>
      <c r="I11" s="36">
        <f t="shared" ref="I11:I12" si="0">G11-F11</f>
        <v>0.42037037037037095</v>
      </c>
      <c r="J11" s="27">
        <v>3.4849537037037033E-2</v>
      </c>
      <c r="K11" s="27">
        <f>J11-J10</f>
        <v>1.4155092592592587E-2</v>
      </c>
      <c r="L11" s="27">
        <f>K11+K10</f>
        <v>3.4849537037037033E-2</v>
      </c>
      <c r="M11" s="34" t="s">
        <v>136</v>
      </c>
      <c r="N11" s="16">
        <v>15</v>
      </c>
      <c r="O11" s="2" t="s">
        <v>137</v>
      </c>
    </row>
    <row r="12" spans="1:15" s="2" customFormat="1" ht="30" customHeight="1" thickBot="1" x14ac:dyDescent="0.3">
      <c r="A12" s="17">
        <v>3</v>
      </c>
      <c r="B12" s="6" t="s">
        <v>114</v>
      </c>
      <c r="C12" s="5">
        <v>8</v>
      </c>
      <c r="D12" s="5">
        <v>132</v>
      </c>
      <c r="E12" s="47">
        <f>D12-D11</f>
        <v>60</v>
      </c>
      <c r="F12" s="33">
        <v>39.549999999999997</v>
      </c>
      <c r="G12" s="60">
        <f>(40.23+40.3+39.98+40.14+40.07+40.09+39.92+39.79+40.11+39.94+39.83+39.9+39.69+39.81+39.71+39.95+40.03+39.93+40.16+40.15+39.68+39.59+39.84+39.81+40.4+39.87+39.88+39.8+39.72+39.55+39.7+40.62+39.69+39.96+39.65+39.68+40.16+40.24+39.93+39.82+40.36+40.79+39.94+39.82+39.72+39.99+39.93+39.97+39.83+40.2+39.86+39.77+39.79+39.98+39.97+39.98+39.81+41.21+40.16)/59</f>
        <v>39.972881355932195</v>
      </c>
      <c r="H12" s="55">
        <v>2</v>
      </c>
      <c r="I12" s="38">
        <f t="shared" si="0"/>
        <v>0.42288135593219778</v>
      </c>
      <c r="J12" s="27">
        <v>6.3530092592592582E-2</v>
      </c>
      <c r="K12" s="27">
        <f>J12-J11</f>
        <v>2.8680555555555549E-2</v>
      </c>
      <c r="L12" s="29">
        <f>K12</f>
        <v>2.8680555555555549E-2</v>
      </c>
      <c r="M12" s="34" t="s">
        <v>138</v>
      </c>
      <c r="N12" s="16"/>
    </row>
    <row r="13" spans="1:15" s="2" customFormat="1" ht="30" customHeight="1" thickBot="1" x14ac:dyDescent="0.3">
      <c r="A13" s="12" t="s">
        <v>17</v>
      </c>
      <c r="B13" s="9" t="s">
        <v>114</v>
      </c>
      <c r="C13" s="10">
        <v>33</v>
      </c>
      <c r="D13" s="10">
        <v>174</v>
      </c>
      <c r="E13" s="47">
        <f>D13-D12</f>
        <v>42</v>
      </c>
      <c r="F13" s="68">
        <v>39.67</v>
      </c>
      <c r="G13" s="121">
        <f>(40.29+40.18+40.11+40.26+40.11+39.96+40.24+39.97+40.02+40.01+40.29+40.01+39.98+40.44+39.92+40.21+40.11+40.23+39.94+40.12+39.86+39.98+40.04+39.97+40.1+39.84+39.84+40+39.96+39.93+40.41+40.2+40.49+39.94+39.67+39.9+40.18+40.11+39.89+40.2+40.15)/41</f>
        <v>40.074634146341481</v>
      </c>
      <c r="H13" s="57">
        <v>0</v>
      </c>
      <c r="I13" s="65">
        <f t="shared" ref="I13" si="1">G13-F13</f>
        <v>0.4046341463414791</v>
      </c>
      <c r="J13" s="58">
        <v>8.3738425925925938E-2</v>
      </c>
      <c r="K13" s="58">
        <f>J13-J12</f>
        <v>2.0208333333333356E-2</v>
      </c>
      <c r="L13" s="58">
        <f>K13+K12</f>
        <v>4.8888888888888905E-2</v>
      </c>
      <c r="M13" s="34"/>
      <c r="N13" s="16"/>
    </row>
    <row r="14" spans="1:15" s="2" customFormat="1" ht="30" customHeight="1" x14ac:dyDescent="0.25">
      <c r="A14" s="42"/>
      <c r="B14" s="43"/>
      <c r="C14" s="44"/>
      <c r="D14" s="44"/>
      <c r="E14" s="44"/>
      <c r="F14" s="113">
        <f>AVERAGE(F10,F11)</f>
        <v>40.010000000000005</v>
      </c>
      <c r="G14" s="114">
        <f>AVERAGE(G10,G11)</f>
        <v>40.534254952627037</v>
      </c>
      <c r="H14" s="114" t="s">
        <v>96</v>
      </c>
      <c r="I14" s="115">
        <f>AVERAGE(I10,I11)</f>
        <v>0.52425495262703592</v>
      </c>
      <c r="J14" s="44"/>
      <c r="K14" s="44"/>
      <c r="L14" s="44"/>
    </row>
    <row r="15" spans="1:15" ht="27.75" customHeight="1" x14ac:dyDescent="0.25">
      <c r="A15" s="51"/>
      <c r="B15" s="51"/>
      <c r="C15" s="51"/>
      <c r="D15" s="52"/>
      <c r="F15" s="106">
        <f>AVERAGE(F12,F13)</f>
        <v>39.61</v>
      </c>
      <c r="G15" s="64">
        <f>AVERAGE(G12,G13)</f>
        <v>40.023757751136841</v>
      </c>
      <c r="H15" s="64" t="s">
        <v>82</v>
      </c>
      <c r="I15" s="116">
        <f>AVERAGE(I12,I13)</f>
        <v>0.41375775113683844</v>
      </c>
      <c r="M15" s="2"/>
      <c r="N15" s="2"/>
    </row>
    <row r="16" spans="1:15" ht="30" customHeight="1" thickBot="1" x14ac:dyDescent="0.3">
      <c r="F16" s="117">
        <f>AVERAGE(F10:F13)</f>
        <v>39.81</v>
      </c>
      <c r="G16" s="118">
        <f>AVERAGE(G10:G13)</f>
        <v>40.279006351881939</v>
      </c>
      <c r="H16" s="119"/>
      <c r="I16" s="120">
        <f>AVERAGE(I10:I13)</f>
        <v>0.46900635188193718</v>
      </c>
    </row>
    <row r="19" spans="13:14" x14ac:dyDescent="0.25">
      <c r="M19" s="1"/>
      <c r="N19" s="1"/>
    </row>
    <row r="20" spans="13:14" x14ac:dyDescent="0.25">
      <c r="M20" s="2"/>
      <c r="N20" s="2"/>
    </row>
    <row r="21" spans="13:14" x14ac:dyDescent="0.25">
      <c r="M21" s="2"/>
      <c r="N21" s="2"/>
    </row>
    <row r="22" spans="13:14" x14ac:dyDescent="0.25">
      <c r="M22" s="2"/>
      <c r="N22" s="2"/>
    </row>
  </sheetData>
  <mergeCells count="10">
    <mergeCell ref="A4:L4"/>
    <mergeCell ref="A6:L6"/>
    <mergeCell ref="A8:A9"/>
    <mergeCell ref="B8:B9"/>
    <mergeCell ref="D8:D9"/>
    <mergeCell ref="J8:J9"/>
    <mergeCell ref="K8:L8"/>
    <mergeCell ref="C8:C9"/>
    <mergeCell ref="E8:E9"/>
    <mergeCell ref="F8:I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O22"/>
  <sheetViews>
    <sheetView zoomScale="75" zoomScaleNormal="75" workbookViewId="0">
      <selection activeCell="A4" sqref="A4:L4"/>
    </sheetView>
  </sheetViews>
  <sheetFormatPr defaultRowHeight="15" x14ac:dyDescent="0.25"/>
  <cols>
    <col min="1" max="1" width="8.7109375" customWidth="1"/>
    <col min="2" max="2" width="30.7109375" customWidth="1"/>
    <col min="3" max="3" width="9.710937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11.85546875" customWidth="1"/>
    <col min="14" max="14" width="12.42578125" customWidth="1"/>
  </cols>
  <sheetData>
    <row r="4" spans="1:15" ht="18.75" x14ac:dyDescent="0.3">
      <c r="A4" s="188" t="s">
        <v>183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5" ht="7.5" customHeight="1" x14ac:dyDescent="0.25"/>
    <row r="6" spans="1:15" ht="17.25" x14ac:dyDescent="0.3">
      <c r="A6" s="200" t="s">
        <v>58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5" ht="7.5" customHeight="1" x14ac:dyDescent="0.25"/>
    <row r="8" spans="1:15" s="1" customFormat="1" ht="20.25" customHeight="1" x14ac:dyDescent="0.25">
      <c r="A8" s="189" t="s">
        <v>11</v>
      </c>
      <c r="B8" s="190" t="s">
        <v>10</v>
      </c>
      <c r="C8" s="193" t="s">
        <v>19</v>
      </c>
      <c r="D8" s="190" t="s">
        <v>4</v>
      </c>
      <c r="E8" s="195" t="s">
        <v>71</v>
      </c>
      <c r="F8" s="197" t="s">
        <v>70</v>
      </c>
      <c r="G8" s="198"/>
      <c r="H8" s="198"/>
      <c r="I8" s="199"/>
      <c r="J8" s="191" t="s">
        <v>18</v>
      </c>
      <c r="K8" s="189" t="s">
        <v>9</v>
      </c>
      <c r="L8" s="189"/>
    </row>
    <row r="9" spans="1:15" s="1" customFormat="1" ht="27.75" customHeight="1" x14ac:dyDescent="0.25">
      <c r="A9" s="189"/>
      <c r="B9" s="190"/>
      <c r="C9" s="194"/>
      <c r="D9" s="190"/>
      <c r="E9" s="196"/>
      <c r="F9" s="18" t="s">
        <v>64</v>
      </c>
      <c r="G9" s="18" t="s">
        <v>65</v>
      </c>
      <c r="H9" s="18" t="s">
        <v>69</v>
      </c>
      <c r="I9" s="16" t="s">
        <v>67</v>
      </c>
      <c r="J9" s="192"/>
      <c r="K9" s="15" t="s">
        <v>8</v>
      </c>
      <c r="L9" s="15" t="s">
        <v>7</v>
      </c>
      <c r="M9" s="31" t="s">
        <v>68</v>
      </c>
      <c r="N9" s="31" t="s">
        <v>72</v>
      </c>
    </row>
    <row r="10" spans="1:15" s="2" customFormat="1" ht="30" customHeight="1" x14ac:dyDescent="0.25">
      <c r="A10" s="17">
        <v>1</v>
      </c>
      <c r="B10" s="6" t="s">
        <v>130</v>
      </c>
      <c r="C10" s="5">
        <v>21</v>
      </c>
      <c r="D10" s="5">
        <v>44</v>
      </c>
      <c r="E10" s="47">
        <f>D10</f>
        <v>44</v>
      </c>
      <c r="F10" s="55">
        <v>40.14</v>
      </c>
      <c r="G10" s="60">
        <f>(41.4+40.68+40.24+40.14+40.34+40.34+41.49+40.2+40.24+40.19+40.43+40.28+40.41+40.27+40.55+40.24+40.36+40.46+40.33+40.48+40.53+40.35+40.38+40.58+40.41+40.54+40.53+40.23+40.39+40.19+40.4+40.37+40.38+40.42+40.58+40.42+40.5+40.57+40.33+40.47+40.62+40.56+40.94)/43</f>
        <v>40.459534883720934</v>
      </c>
      <c r="H10" s="55">
        <v>7</v>
      </c>
      <c r="I10" s="36">
        <f>G10-F10</f>
        <v>0.31953488372093375</v>
      </c>
      <c r="J10" s="27">
        <v>2.0682870370370372E-2</v>
      </c>
      <c r="K10" s="27">
        <f>J10</f>
        <v>2.0682870370370372E-2</v>
      </c>
      <c r="L10" s="29">
        <f>K10</f>
        <v>2.0682870370370372E-2</v>
      </c>
      <c r="M10" s="34" t="s">
        <v>139</v>
      </c>
      <c r="N10" s="16"/>
    </row>
    <row r="11" spans="1:15" s="2" customFormat="1" ht="30" customHeight="1" thickBot="1" x14ac:dyDescent="0.3">
      <c r="A11" s="17">
        <v>2</v>
      </c>
      <c r="B11" s="6" t="s">
        <v>54</v>
      </c>
      <c r="C11" s="5">
        <v>5</v>
      </c>
      <c r="D11" s="5">
        <v>108</v>
      </c>
      <c r="E11" s="47">
        <f>D11-D10</f>
        <v>64</v>
      </c>
      <c r="F11" s="57">
        <v>40.049999999999997</v>
      </c>
      <c r="G11" s="108">
        <f>(40.8+40.44+40.54+40.49+40.74+40.48+40.31+40.63+40.53+40.35+40.5+40.48+40.47+40.16+40.26+40.35+40.44+40.23+40.35+40.29+40.11+40.76+40.38+40.37+40.17+40.47+40.5+40.39+40.83+40.58+40.28+40.32+40.33+40.25+40.66+40.27+40.26+40.19+40.28+40.17+40.33+40.26+40.05+40.31+40.25+40.31+40.11+40.15+40.36+40.41+40.37+40.34+40.29+40.1+40.3+40.22+40.16+40.38+40.23+40.4+40.17+40.4+40.32)/63</f>
        <v>40.359206349206353</v>
      </c>
      <c r="H11" s="55">
        <v>4</v>
      </c>
      <c r="I11" s="36">
        <f t="shared" ref="I11:I13" si="0">G11-F11</f>
        <v>0.30920634920635592</v>
      </c>
      <c r="J11" s="27">
        <v>5.1712962962962961E-2</v>
      </c>
      <c r="K11" s="27">
        <f>J11-J10</f>
        <v>3.1030092592592588E-2</v>
      </c>
      <c r="L11" s="29">
        <f>K11</f>
        <v>3.1030092592592588E-2</v>
      </c>
      <c r="M11" s="34" t="s">
        <v>140</v>
      </c>
      <c r="N11" s="16"/>
    </row>
    <row r="12" spans="1:15" s="2" customFormat="1" ht="30" customHeight="1" thickBot="1" x14ac:dyDescent="0.3">
      <c r="A12" s="17">
        <v>3</v>
      </c>
      <c r="B12" s="6" t="s">
        <v>130</v>
      </c>
      <c r="C12" s="5">
        <v>4</v>
      </c>
      <c r="D12" s="5">
        <v>147</v>
      </c>
      <c r="E12" s="47">
        <f>D12-D11</f>
        <v>39</v>
      </c>
      <c r="F12" s="50">
        <v>39.840000000000003</v>
      </c>
      <c r="G12" s="60">
        <f>(40.3+40.81+40.11+40.04+40.18+40.17+40.07+40.02+39.84+40.19+41.23+40.42+40.52+40.82+40.72+40.76+40.55+41.08+40.29+40.22+40.67+40.1+40.06+40.14+39.97+40.18+40.33+40.63+40.42+39.84+40.06+40.28+39.87+41.3+41.17+40.02+40.57+40.72)/38</f>
        <v>40.386052631578941</v>
      </c>
      <c r="H12" s="55">
        <v>2</v>
      </c>
      <c r="I12" s="46">
        <f t="shared" si="0"/>
        <v>0.54605263157893802</v>
      </c>
      <c r="J12" s="27">
        <v>7.064814814814814E-2</v>
      </c>
      <c r="K12" s="27">
        <f>J12-J11</f>
        <v>1.893518518518518E-2</v>
      </c>
      <c r="L12" s="27">
        <f>K12+K10</f>
        <v>3.9618055555555552E-2</v>
      </c>
      <c r="M12" s="34" t="s">
        <v>141</v>
      </c>
      <c r="N12" s="16">
        <v>-4</v>
      </c>
      <c r="O12" s="2" t="s">
        <v>73</v>
      </c>
    </row>
    <row r="13" spans="1:15" s="2" customFormat="1" ht="30" customHeight="1" thickBot="1" x14ac:dyDescent="0.3">
      <c r="A13" s="12" t="s">
        <v>17</v>
      </c>
      <c r="B13" s="9" t="s">
        <v>54</v>
      </c>
      <c r="C13" s="10">
        <v>7</v>
      </c>
      <c r="D13" s="10">
        <v>174</v>
      </c>
      <c r="E13" s="47">
        <f>D13-D12</f>
        <v>27</v>
      </c>
      <c r="F13" s="62">
        <v>39.79</v>
      </c>
      <c r="G13" s="63">
        <f>(40.56+40.57+40.47+40.46+40.2+40.27+40.52+42.45+40.93+42.75+40.62+40.29+40.36+40.77+39.95+40.01+40.09+40.14+39.79+40.44+39.96+39.92+40.24+40.02+40.4+40.26)/26</f>
        <v>40.478461538461538</v>
      </c>
      <c r="H13" s="57">
        <v>0</v>
      </c>
      <c r="I13" s="67">
        <f t="shared" si="0"/>
        <v>0.68846153846153868</v>
      </c>
      <c r="J13" s="58">
        <v>8.396990740740741E-2</v>
      </c>
      <c r="K13" s="58">
        <f>J13-J12</f>
        <v>1.3321759259259269E-2</v>
      </c>
      <c r="L13" s="58">
        <f>K13+K11</f>
        <v>4.4351851851851858E-2</v>
      </c>
      <c r="M13" s="34"/>
      <c r="N13" s="16"/>
    </row>
    <row r="14" spans="1:15" s="2" customFormat="1" ht="30" customHeight="1" x14ac:dyDescent="0.25">
      <c r="A14" s="42"/>
      <c r="B14" s="43"/>
      <c r="C14" s="44"/>
      <c r="D14" s="44"/>
      <c r="E14" s="44"/>
      <c r="F14" s="113">
        <f>AVERAGE(F10,F12)</f>
        <v>39.99</v>
      </c>
      <c r="G14" s="114">
        <f>AVERAGE(G10,G12)</f>
        <v>40.422793757649941</v>
      </c>
      <c r="H14" s="114" t="s">
        <v>83</v>
      </c>
      <c r="I14" s="115">
        <f>AVERAGE(I10,I12)</f>
        <v>0.43279375764993588</v>
      </c>
      <c r="J14" s="44"/>
      <c r="K14" s="44"/>
      <c r="L14" s="44"/>
    </row>
    <row r="15" spans="1:15" ht="29.25" customHeight="1" x14ac:dyDescent="0.25">
      <c r="F15" s="106">
        <f>AVERAGE(F11,F13)</f>
        <v>39.92</v>
      </c>
      <c r="G15" s="64">
        <f>AVERAGE(G11,G13)</f>
        <v>40.418833943833945</v>
      </c>
      <c r="H15" s="64" t="s">
        <v>77</v>
      </c>
      <c r="I15" s="116">
        <f>AVERAGE(I11,I13)</f>
        <v>0.4988339438339473</v>
      </c>
      <c r="M15" s="2"/>
      <c r="N15" s="2"/>
    </row>
    <row r="16" spans="1:15" ht="30" customHeight="1" thickBot="1" x14ac:dyDescent="0.3">
      <c r="F16" s="117">
        <f>AVERAGE(F10:F13)</f>
        <v>39.954999999999998</v>
      </c>
      <c r="G16" s="118">
        <f>AVERAGE(G10:G13)</f>
        <v>40.420813850741943</v>
      </c>
      <c r="H16" s="119"/>
      <c r="I16" s="120">
        <f>AVERAGE(I10:I13)</f>
        <v>0.46581385074194159</v>
      </c>
    </row>
    <row r="19" spans="13:14" x14ac:dyDescent="0.25">
      <c r="M19" s="1"/>
      <c r="N19" s="1"/>
    </row>
    <row r="20" spans="13:14" x14ac:dyDescent="0.25">
      <c r="M20" s="2"/>
      <c r="N20" s="2"/>
    </row>
    <row r="21" spans="13:14" x14ac:dyDescent="0.25">
      <c r="M21" s="2"/>
      <c r="N21" s="2"/>
    </row>
    <row r="22" spans="13:14" x14ac:dyDescent="0.25">
      <c r="M22" s="2"/>
      <c r="N22" s="2"/>
    </row>
  </sheetData>
  <mergeCells count="10">
    <mergeCell ref="A4:L4"/>
    <mergeCell ref="A6:L6"/>
    <mergeCell ref="A8:A9"/>
    <mergeCell ref="B8:B9"/>
    <mergeCell ref="D8:D9"/>
    <mergeCell ref="J8:J9"/>
    <mergeCell ref="K8:L8"/>
    <mergeCell ref="C8:C9"/>
    <mergeCell ref="E8:E9"/>
    <mergeCell ref="F8:I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O22"/>
  <sheetViews>
    <sheetView topLeftCell="A3" zoomScale="75" zoomScaleNormal="75" workbookViewId="0">
      <selection activeCell="F13" sqref="F13"/>
    </sheetView>
  </sheetViews>
  <sheetFormatPr defaultRowHeight="15" x14ac:dyDescent="0.25"/>
  <cols>
    <col min="1" max="1" width="8.7109375" customWidth="1"/>
    <col min="2" max="2" width="30.7109375" customWidth="1"/>
    <col min="3" max="3" width="9.710937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4" max="14" width="12.42578125" customWidth="1"/>
  </cols>
  <sheetData>
    <row r="4" spans="1:15" ht="18.75" x14ac:dyDescent="0.3">
      <c r="A4" s="188" t="s">
        <v>183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5" ht="7.5" customHeight="1" x14ac:dyDescent="0.25"/>
    <row r="6" spans="1:15" ht="17.25" x14ac:dyDescent="0.3">
      <c r="A6" s="200" t="s">
        <v>75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5" ht="7.5" customHeight="1" x14ac:dyDescent="0.25"/>
    <row r="8" spans="1:15" s="1" customFormat="1" ht="20.25" customHeight="1" x14ac:dyDescent="0.25">
      <c r="A8" s="189" t="s">
        <v>11</v>
      </c>
      <c r="B8" s="190" t="s">
        <v>10</v>
      </c>
      <c r="C8" s="193" t="s">
        <v>19</v>
      </c>
      <c r="D8" s="190" t="s">
        <v>4</v>
      </c>
      <c r="E8" s="195" t="s">
        <v>71</v>
      </c>
      <c r="F8" s="197" t="s">
        <v>70</v>
      </c>
      <c r="G8" s="198"/>
      <c r="H8" s="198"/>
      <c r="I8" s="199"/>
      <c r="J8" s="191" t="s">
        <v>18</v>
      </c>
      <c r="K8" s="189" t="s">
        <v>9</v>
      </c>
      <c r="L8" s="189"/>
    </row>
    <row r="9" spans="1:15" s="1" customFormat="1" ht="27.75" customHeight="1" thickBot="1" x14ac:dyDescent="0.3">
      <c r="A9" s="189"/>
      <c r="B9" s="190"/>
      <c r="C9" s="194"/>
      <c r="D9" s="190"/>
      <c r="E9" s="196"/>
      <c r="F9" s="18" t="s">
        <v>64</v>
      </c>
      <c r="G9" s="87" t="s">
        <v>65</v>
      </c>
      <c r="H9" s="87" t="s">
        <v>69</v>
      </c>
      <c r="I9" s="16" t="s">
        <v>67</v>
      </c>
      <c r="J9" s="192"/>
      <c r="K9" s="15" t="s">
        <v>8</v>
      </c>
      <c r="L9" s="15" t="s">
        <v>7</v>
      </c>
      <c r="M9" s="31" t="s">
        <v>68</v>
      </c>
      <c r="N9" s="31" t="s">
        <v>72</v>
      </c>
    </row>
    <row r="10" spans="1:15" s="2" customFormat="1" ht="30" customHeight="1" thickBot="1" x14ac:dyDescent="0.3">
      <c r="A10" s="17">
        <v>1</v>
      </c>
      <c r="B10" s="6" t="s">
        <v>22</v>
      </c>
      <c r="C10" s="5">
        <v>4</v>
      </c>
      <c r="D10" s="5">
        <v>33</v>
      </c>
      <c r="E10" s="47">
        <f>D10</f>
        <v>33</v>
      </c>
      <c r="F10" s="50">
        <v>39.92</v>
      </c>
      <c r="G10" s="48">
        <f>(42.51+41.41+40.85+39.98+39.92+40.55+41.57+40.21+39.92+40.18+40.52+40.54+40.39+40.97+41.6+40.79+40.47+41.82+40.12+40.06+40.85+40.97+40.19+41.39+40.32+41.54+40.46+40.75+40.89+40.81+40.82+41.25)/32</f>
        <v>40.769375000000004</v>
      </c>
      <c r="H10" s="45">
        <v>2</v>
      </c>
      <c r="I10" s="46">
        <f>G10-F10</f>
        <v>0.84937500000000199</v>
      </c>
      <c r="J10" s="27">
        <v>1.5625E-2</v>
      </c>
      <c r="K10" s="26">
        <f>J10</f>
        <v>1.5625E-2</v>
      </c>
      <c r="L10" s="28">
        <f>K10</f>
        <v>1.5625E-2</v>
      </c>
      <c r="M10" s="34" t="s">
        <v>143</v>
      </c>
      <c r="N10" s="86">
        <v>-8</v>
      </c>
      <c r="O10" s="2" t="s">
        <v>73</v>
      </c>
    </row>
    <row r="11" spans="1:15" s="2" customFormat="1" ht="30" customHeight="1" x14ac:dyDescent="0.25">
      <c r="A11" s="17">
        <v>2</v>
      </c>
      <c r="B11" s="6" t="s">
        <v>22</v>
      </c>
      <c r="C11" s="5">
        <v>1</v>
      </c>
      <c r="D11" s="5">
        <v>77</v>
      </c>
      <c r="E11" s="47">
        <f>D11-D10</f>
        <v>44</v>
      </c>
      <c r="F11" s="128">
        <v>40.5</v>
      </c>
      <c r="G11" s="46">
        <f>(40.69+40.78+40.81+40.56+41.08+40.71+40.72+40.72+40.67+40.73+40.82+41.27+41.09+40.89+41.07+40.71+40.94+40.9+40.93+41.74+40.88+40.87+40.87+40.6+40.63+40.5+40.73+40.68+40.79+40.81+40.97+40.87+41.46+41.17+41.07+40.99+40.92+41.42+40.01+40.86+40.91+40.52+41.18)/43</f>
        <v>40.873023255813962</v>
      </c>
      <c r="H11" s="45">
        <v>3</v>
      </c>
      <c r="I11" s="36">
        <f t="shared" ref="I11:I13" si="0">G11-F11</f>
        <v>0.3730232558139619</v>
      </c>
      <c r="J11" s="27">
        <v>3.7465277777777778E-2</v>
      </c>
      <c r="K11" s="26">
        <f>J11-J10</f>
        <v>2.1840277777777778E-2</v>
      </c>
      <c r="L11" s="26">
        <f>K11+K10</f>
        <v>3.7465277777777778E-2</v>
      </c>
      <c r="M11" s="34" t="s">
        <v>144</v>
      </c>
      <c r="N11" s="86"/>
    </row>
    <row r="12" spans="1:15" s="2" customFormat="1" ht="30" customHeight="1" thickBot="1" x14ac:dyDescent="0.3">
      <c r="A12" s="17">
        <v>3</v>
      </c>
      <c r="B12" s="6" t="s">
        <v>24</v>
      </c>
      <c r="C12" s="5">
        <v>33</v>
      </c>
      <c r="D12" s="5">
        <v>120</v>
      </c>
      <c r="E12" s="47">
        <f>D12-D11</f>
        <v>43</v>
      </c>
      <c r="F12" s="122">
        <v>39.9</v>
      </c>
      <c r="G12" s="48">
        <f>(40.67+40.45+40.53+40.29+40.16+40.21+40.17+40.37+40.14+40.22+40.14+40.22+40.08+39.96+40.1+40.08+40.15+40.35+39.91+40.15+40.22+40.02+40.14+40.18+39.9+40.3+39.98+40.14+40.01+39.96+40.36+40.02+40.11+40.29+39.94+39.92+40.01+40.16+40.76+40.07+40.42+40.56)/42</f>
        <v>40.186190476190482</v>
      </c>
      <c r="H12" s="45">
        <v>5</v>
      </c>
      <c r="I12" s="36">
        <f t="shared" si="0"/>
        <v>0.28619047619048388</v>
      </c>
      <c r="J12" s="30">
        <v>5.8217592592592592E-2</v>
      </c>
      <c r="K12" s="26">
        <f>J12-J11</f>
        <v>2.0752314814814814E-2</v>
      </c>
      <c r="L12" s="28">
        <f>K12</f>
        <v>2.0752314814814814E-2</v>
      </c>
      <c r="M12" s="34" t="s">
        <v>145</v>
      </c>
      <c r="N12" s="86"/>
    </row>
    <row r="13" spans="1:15" s="2" customFormat="1" ht="30" customHeight="1" thickBot="1" x14ac:dyDescent="0.3">
      <c r="A13" s="17" t="s">
        <v>17</v>
      </c>
      <c r="B13" s="6" t="s">
        <v>24</v>
      </c>
      <c r="C13" s="5">
        <v>21</v>
      </c>
      <c r="D13" s="5">
        <v>174</v>
      </c>
      <c r="E13" s="47">
        <f>D13-D12</f>
        <v>54</v>
      </c>
      <c r="F13" s="33">
        <v>39.89</v>
      </c>
      <c r="G13" s="66">
        <f>(41.46+40.95+40.44+40.59+40.16+40.33+40.52+40.2+40.15+39.99+40.14+40.17+40.02+40.97+40.22+39.93+40.12+40.2+39.9+41.43+40.97+40.01+40.26+40.22+40.11+39.95+40.1+40.05+40.06+40.14+40.27+40.27+40.03+40.23+40.08+40.05+40.09+40.11+39.96+40.09+39.96+40.58+40.67+40.17+40.17+40+40.26+39.89+40.08+40.25+40.03+40.15+40.12)/53</f>
        <v>40.250377358490567</v>
      </c>
      <c r="H13" s="49">
        <v>6</v>
      </c>
      <c r="I13" s="67">
        <f t="shared" si="0"/>
        <v>0.36037735849056673</v>
      </c>
      <c r="J13" s="109">
        <v>8.4085648148148159E-2</v>
      </c>
      <c r="K13" s="26">
        <f>J13-J12</f>
        <v>2.5868055555555568E-2</v>
      </c>
      <c r="L13" s="26">
        <f>K13+K12</f>
        <v>4.6620370370370381E-2</v>
      </c>
      <c r="M13" s="34"/>
      <c r="N13" s="16"/>
    </row>
    <row r="14" spans="1:15" s="2" customFormat="1" ht="30" customHeight="1" x14ac:dyDescent="0.25">
      <c r="A14" s="42"/>
      <c r="B14" s="43"/>
      <c r="C14" s="43"/>
      <c r="D14" s="44"/>
      <c r="E14" s="44"/>
      <c r="F14" s="113">
        <f>AVERAGE(F10,F11)</f>
        <v>40.21</v>
      </c>
      <c r="G14" s="114">
        <f>AVERAGE(G10,G11)</f>
        <v>40.821199127906979</v>
      </c>
      <c r="H14" s="114" t="s">
        <v>79</v>
      </c>
      <c r="I14" s="115">
        <f>AVERAGE(I10,I11)</f>
        <v>0.61119912790698194</v>
      </c>
      <c r="J14" s="44"/>
      <c r="K14" s="44"/>
      <c r="L14" s="44"/>
    </row>
    <row r="15" spans="1:15" ht="30" customHeight="1" x14ac:dyDescent="0.25">
      <c r="A15" s="51"/>
      <c r="B15" s="51"/>
      <c r="C15" s="51"/>
      <c r="D15" s="52"/>
      <c r="E15" s="52"/>
      <c r="F15" s="106">
        <f>AVERAGE(F12,F13)</f>
        <v>39.894999999999996</v>
      </c>
      <c r="G15" s="64">
        <f>AVERAGE(G12,G13)</f>
        <v>40.218283917340528</v>
      </c>
      <c r="H15" s="64" t="s">
        <v>78</v>
      </c>
      <c r="I15" s="116">
        <f>AVERAGE(I12,I13)</f>
        <v>0.32328391734052531</v>
      </c>
      <c r="M15" s="2"/>
      <c r="N15" s="2"/>
    </row>
    <row r="16" spans="1:15" ht="31.5" customHeight="1" thickBot="1" x14ac:dyDescent="0.3">
      <c r="F16" s="124">
        <f>AVERAGE(F10:F13)</f>
        <v>40.052499999999995</v>
      </c>
      <c r="G16" s="125">
        <f>AVERAGE(G10:G13)</f>
        <v>40.519741522623754</v>
      </c>
      <c r="H16" s="125"/>
      <c r="I16" s="126">
        <f>AVERAGE(I10:I13)</f>
        <v>0.46724152262375362</v>
      </c>
    </row>
    <row r="17" spans="1:14" ht="20.25" hidden="1" customHeight="1" x14ac:dyDescent="0.25">
      <c r="A17" s="190" t="s">
        <v>6</v>
      </c>
      <c r="B17" s="176" t="s">
        <v>5</v>
      </c>
      <c r="C17" s="17"/>
      <c r="D17" s="176" t="s">
        <v>4</v>
      </c>
      <c r="E17" s="12"/>
      <c r="F17" s="123"/>
      <c r="G17" s="123"/>
      <c r="H17" s="123"/>
      <c r="I17" s="123"/>
      <c r="J17" s="202" t="s">
        <v>3</v>
      </c>
      <c r="K17" s="201" t="s">
        <v>2</v>
      </c>
      <c r="L17" s="201" t="s">
        <v>1</v>
      </c>
    </row>
    <row r="18" spans="1:14" s="1" customFormat="1" ht="20.25" hidden="1" customHeight="1" x14ac:dyDescent="0.25">
      <c r="A18" s="190"/>
      <c r="B18" s="176"/>
      <c r="C18" s="17"/>
      <c r="D18" s="176"/>
      <c r="E18" s="11"/>
      <c r="F18" s="11"/>
      <c r="G18" s="11"/>
      <c r="H18" s="11"/>
      <c r="I18" s="11"/>
      <c r="J18" s="203"/>
      <c r="K18" s="201"/>
      <c r="L18" s="201"/>
      <c r="M18"/>
      <c r="N18"/>
    </row>
    <row r="19" spans="1:14" s="2" customFormat="1" ht="30" hidden="1" customHeight="1" x14ac:dyDescent="0.25">
      <c r="A19" s="17">
        <v>1</v>
      </c>
      <c r="B19" s="4"/>
      <c r="C19" s="4"/>
      <c r="D19" s="17"/>
      <c r="E19" s="17"/>
      <c r="F19" s="17"/>
      <c r="G19" s="17"/>
      <c r="H19" s="17"/>
      <c r="I19" s="17"/>
      <c r="J19" s="17"/>
      <c r="K19" s="17"/>
      <c r="L19" s="17"/>
      <c r="M19" s="1"/>
      <c r="N19" s="1"/>
    </row>
    <row r="20" spans="1:14" s="2" customFormat="1" ht="30" hidden="1" customHeight="1" x14ac:dyDescent="0.25">
      <c r="A20" s="17">
        <v>2</v>
      </c>
      <c r="B20" s="4"/>
      <c r="C20" s="4"/>
      <c r="D20" s="17"/>
      <c r="E20" s="17"/>
      <c r="F20" s="17"/>
      <c r="G20" s="17"/>
      <c r="H20" s="17"/>
      <c r="I20" s="17"/>
      <c r="J20" s="17"/>
      <c r="K20" s="17"/>
      <c r="L20" s="17"/>
    </row>
    <row r="21" spans="1:14" s="2" customFormat="1" ht="30" hidden="1" customHeight="1" x14ac:dyDescent="0.25">
      <c r="A21" s="17">
        <v>3</v>
      </c>
      <c r="B21" s="4"/>
      <c r="C21" s="4"/>
      <c r="D21" s="17"/>
      <c r="E21" s="17"/>
      <c r="F21" s="17"/>
      <c r="G21" s="17"/>
      <c r="H21" s="17"/>
      <c r="I21" s="17"/>
      <c r="J21" s="17"/>
      <c r="K21" s="17"/>
      <c r="L21" s="17"/>
    </row>
    <row r="22" spans="1:14" hidden="1" x14ac:dyDescent="0.25">
      <c r="A22" t="s">
        <v>0</v>
      </c>
      <c r="M22" s="2"/>
      <c r="N22" s="2"/>
    </row>
  </sheetData>
  <mergeCells count="16">
    <mergeCell ref="L17:L18"/>
    <mergeCell ref="A4:L4"/>
    <mergeCell ref="A6:L6"/>
    <mergeCell ref="A8:A9"/>
    <mergeCell ref="B8:B9"/>
    <mergeCell ref="D8:D9"/>
    <mergeCell ref="J8:J9"/>
    <mergeCell ref="K8:L8"/>
    <mergeCell ref="C8:C9"/>
    <mergeCell ref="E8:E9"/>
    <mergeCell ref="F8:I8"/>
    <mergeCell ref="A17:A18"/>
    <mergeCell ref="B17:B18"/>
    <mergeCell ref="D17:D18"/>
    <mergeCell ref="J17:J18"/>
    <mergeCell ref="K17:K1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O22"/>
  <sheetViews>
    <sheetView topLeftCell="A3" zoomScale="75" zoomScaleNormal="75" workbookViewId="0">
      <selection activeCell="F13" sqref="F13"/>
    </sheetView>
  </sheetViews>
  <sheetFormatPr defaultRowHeight="15" x14ac:dyDescent="0.25"/>
  <cols>
    <col min="1" max="1" width="8.7109375" customWidth="1"/>
    <col min="2" max="2" width="30.7109375" customWidth="1"/>
    <col min="3" max="3" width="10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10.42578125" customWidth="1"/>
    <col min="14" max="14" width="12.42578125" customWidth="1"/>
  </cols>
  <sheetData>
    <row r="4" spans="1:15" ht="18.75" x14ac:dyDescent="0.3">
      <c r="A4" s="188" t="s">
        <v>183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5" ht="7.5" customHeight="1" x14ac:dyDescent="0.25"/>
    <row r="6" spans="1:15" ht="17.25" x14ac:dyDescent="0.3">
      <c r="A6" s="150" t="s">
        <v>25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5" ht="7.5" customHeight="1" x14ac:dyDescent="0.25"/>
    <row r="8" spans="1:15" s="1" customFormat="1" ht="20.25" customHeight="1" x14ac:dyDescent="0.25">
      <c r="A8" s="189" t="s">
        <v>11</v>
      </c>
      <c r="B8" s="190" t="s">
        <v>10</v>
      </c>
      <c r="C8" s="193" t="s">
        <v>19</v>
      </c>
      <c r="D8" s="190" t="s">
        <v>4</v>
      </c>
      <c r="E8" s="195" t="s">
        <v>71</v>
      </c>
      <c r="F8" s="197" t="s">
        <v>70</v>
      </c>
      <c r="G8" s="198"/>
      <c r="H8" s="198"/>
      <c r="I8" s="199"/>
      <c r="J8" s="191" t="s">
        <v>18</v>
      </c>
      <c r="K8" s="189" t="s">
        <v>9</v>
      </c>
      <c r="L8" s="189"/>
    </row>
    <row r="9" spans="1:15" s="1" customFormat="1" ht="27.75" customHeight="1" x14ac:dyDescent="0.25">
      <c r="A9" s="189"/>
      <c r="B9" s="190"/>
      <c r="C9" s="194"/>
      <c r="D9" s="190"/>
      <c r="E9" s="196"/>
      <c r="F9" s="18" t="s">
        <v>64</v>
      </c>
      <c r="G9" s="18" t="s">
        <v>65</v>
      </c>
      <c r="H9" s="18" t="s">
        <v>69</v>
      </c>
      <c r="I9" s="18" t="s">
        <v>67</v>
      </c>
      <c r="J9" s="192"/>
      <c r="K9" s="15" t="s">
        <v>8</v>
      </c>
      <c r="L9" s="15" t="s">
        <v>7</v>
      </c>
      <c r="M9" s="31" t="s">
        <v>68</v>
      </c>
      <c r="N9" s="31" t="s">
        <v>72</v>
      </c>
    </row>
    <row r="10" spans="1:15" s="2" customFormat="1" ht="30" customHeight="1" thickBot="1" x14ac:dyDescent="0.3">
      <c r="A10" s="17">
        <v>1</v>
      </c>
      <c r="B10" s="6" t="s">
        <v>26</v>
      </c>
      <c r="C10" s="5">
        <v>13</v>
      </c>
      <c r="D10" s="5">
        <v>23</v>
      </c>
      <c r="E10" s="47">
        <f>D10</f>
        <v>23</v>
      </c>
      <c r="F10" s="57">
        <v>40.200000000000003</v>
      </c>
      <c r="G10" s="59">
        <f>(41.47+40.74+40.5+40.34+40.26+40.43+41.83+40.65+40.39+40.52+40.52+40.51+40.37+41+40.62+40.2+41.63+40.43+40.44+40.71+41.26+40.84)/22</f>
        <v>40.711818181818181</v>
      </c>
      <c r="H10" s="55">
        <v>1</v>
      </c>
      <c r="I10" s="59">
        <f>G10-F10</f>
        <v>0.51181818181817818</v>
      </c>
      <c r="J10" s="27">
        <v>1.0902777777777777E-2</v>
      </c>
      <c r="K10" s="27">
        <f>J10</f>
        <v>1.0902777777777777E-2</v>
      </c>
      <c r="L10" s="29">
        <f>K10</f>
        <v>1.0902777777777777E-2</v>
      </c>
      <c r="M10" s="34" t="s">
        <v>146</v>
      </c>
      <c r="N10" s="16"/>
    </row>
    <row r="11" spans="1:15" s="2" customFormat="1" ht="30" customHeight="1" thickBot="1" x14ac:dyDescent="0.3">
      <c r="A11" s="17">
        <v>2</v>
      </c>
      <c r="B11" s="6" t="s">
        <v>26</v>
      </c>
      <c r="C11" s="5">
        <v>2</v>
      </c>
      <c r="D11" s="5">
        <v>86</v>
      </c>
      <c r="E11" s="47">
        <f>D11-D10</f>
        <v>63</v>
      </c>
      <c r="F11" s="130">
        <v>39.72</v>
      </c>
      <c r="G11" s="60">
        <f>(40.2+39.96+40.03+40.08+39.99+39.96+39.93+40.15+40.07+40.05+39.74+39.8+40.01+39.9+41.9+40.22+39.92+40.04+40.26+40.14+40.34+40.18+40.05+39.92+39.93+40.18+40.82+40.02+39.93+40.15+40.03+39.9+39.88+40.24+40+39.72+39.95+40+40.03+39.86+39.98+40.11+39.89+40+40.03+40.34+40.5+40.12+40.39+40.38+40.2+40.27+40.19+40.09+39.79+39.92+40.16+40.17+40.26+40.35+40.17+40.4)/62</f>
        <v>40.115967741935492</v>
      </c>
      <c r="H11" s="55">
        <v>3</v>
      </c>
      <c r="I11" s="59">
        <f t="shared" ref="I11:I13" si="0">G11-F11</f>
        <v>0.39596774193549322</v>
      </c>
      <c r="J11" s="27">
        <v>4.1238425925925921E-2</v>
      </c>
      <c r="K11" s="27">
        <f>J11-J10</f>
        <v>3.0335648148148146E-2</v>
      </c>
      <c r="L11" s="27">
        <f>K11+K10</f>
        <v>4.1238425925925921E-2</v>
      </c>
      <c r="M11" s="34" t="s">
        <v>147</v>
      </c>
      <c r="N11" s="16"/>
    </row>
    <row r="12" spans="1:15" s="2" customFormat="1" ht="30" customHeight="1" thickBot="1" x14ac:dyDescent="0.3">
      <c r="A12" s="17">
        <v>3</v>
      </c>
      <c r="B12" s="6" t="s">
        <v>55</v>
      </c>
      <c r="C12" s="5">
        <v>9</v>
      </c>
      <c r="D12" s="5">
        <v>106</v>
      </c>
      <c r="E12" s="47">
        <f>D12-D11</f>
        <v>20</v>
      </c>
      <c r="F12" s="68">
        <v>40.61</v>
      </c>
      <c r="G12" s="59">
        <f>(42.08+40.92+40.94+40.94+40.87+40.83+40.72+40.69+40.76+40.76+40.76+40.61+40.84+40.89+40.71+40.66+41.79+40.69+40.8)/19</f>
        <v>40.908421052631567</v>
      </c>
      <c r="H12" s="55">
        <v>4</v>
      </c>
      <c r="I12" s="59">
        <f t="shared" si="0"/>
        <v>0.29842105263156782</v>
      </c>
      <c r="J12" s="27">
        <v>5.1446759259259262E-2</v>
      </c>
      <c r="K12" s="27">
        <f>J12-J11</f>
        <v>1.020833333333334E-2</v>
      </c>
      <c r="L12" s="29">
        <f>K12</f>
        <v>1.020833333333334E-2</v>
      </c>
      <c r="M12" s="34" t="s">
        <v>148</v>
      </c>
      <c r="N12" s="16">
        <v>25</v>
      </c>
      <c r="O12" s="2" t="s">
        <v>160</v>
      </c>
    </row>
    <row r="13" spans="1:15" s="2" customFormat="1" ht="30" customHeight="1" thickBot="1" x14ac:dyDescent="0.3">
      <c r="A13" s="12" t="s">
        <v>17</v>
      </c>
      <c r="B13" s="6" t="s">
        <v>55</v>
      </c>
      <c r="C13" s="5">
        <v>2</v>
      </c>
      <c r="D13" s="10">
        <v>174</v>
      </c>
      <c r="E13" s="47">
        <f>D13-D12</f>
        <v>68</v>
      </c>
      <c r="F13" s="50">
        <v>39.99</v>
      </c>
      <c r="G13" s="63">
        <f>(40.65+40.41+40.22+40.2+40.25+40.57+40.29+40.3+40.35+40.13+40.34+40.39+40.42+40.3+40.11+40.15+40.18+40.19+40.3+41+40.58+40.09+40.19+40.22+40.18+40.16+40.16+40.03+40.24+40.31+40.16+40.19+40+40.15+40.11+40+40.05+40.08+40.4+39.99+40.37+40.35+42.6+40.31+41.14+41.36+40.37+40.17+40.05+40.24+40.09+40.15+40.36+40.9+40.41+40.63+40.1+40.28+40.52+40.59+41.85+40.88+40.41+40.55+40.43+40.13+40.26)/67</f>
        <v>40.381194029850754</v>
      </c>
      <c r="H13" s="57">
        <v>8</v>
      </c>
      <c r="I13" s="121">
        <f t="shared" si="0"/>
        <v>0.39119402985075169</v>
      </c>
      <c r="J13" s="27">
        <v>8.4050925925925932E-2</v>
      </c>
      <c r="K13" s="58">
        <f>J13-J12</f>
        <v>3.260416666666667E-2</v>
      </c>
      <c r="L13" s="58">
        <f>K13+K12</f>
        <v>4.281250000000001E-2</v>
      </c>
      <c r="M13" s="34"/>
      <c r="N13" s="16">
        <v>5</v>
      </c>
      <c r="O13" s="2" t="s">
        <v>159</v>
      </c>
    </row>
    <row r="14" spans="1:15" s="2" customFormat="1" ht="30" customHeight="1" x14ac:dyDescent="0.25">
      <c r="A14" s="42"/>
      <c r="B14" s="43"/>
      <c r="C14" s="44"/>
      <c r="D14" s="44"/>
      <c r="E14" s="44"/>
      <c r="F14" s="129">
        <f>AVERAGE(F10,F11)</f>
        <v>39.96</v>
      </c>
      <c r="G14" s="114">
        <f>AVERAGE(G10,G11)</f>
        <v>40.41389296187684</v>
      </c>
      <c r="H14" s="114" t="s">
        <v>86</v>
      </c>
      <c r="I14" s="115">
        <f>AVERAGE(I10,I11)</f>
        <v>0.4538929618768357</v>
      </c>
      <c r="J14" s="44"/>
      <c r="K14" s="44"/>
      <c r="L14" s="44"/>
    </row>
    <row r="15" spans="1:15" ht="23.25" customHeight="1" x14ac:dyDescent="0.25">
      <c r="F15" s="106">
        <f>AVERAGE(F12,F13)</f>
        <v>40.299999999999997</v>
      </c>
      <c r="G15" s="64">
        <f>AVERAGE(G12,G13)</f>
        <v>40.644807541241164</v>
      </c>
      <c r="H15" s="64" t="s">
        <v>76</v>
      </c>
      <c r="I15" s="116">
        <f>AVERAGE(I12,I13)</f>
        <v>0.34480754124115975</v>
      </c>
      <c r="M15" s="2"/>
      <c r="N15" s="2"/>
    </row>
    <row r="16" spans="1:15" ht="24.75" customHeight="1" thickBot="1" x14ac:dyDescent="0.3">
      <c r="F16" s="124">
        <f>AVERAGE(F10:F13)</f>
        <v>40.130000000000003</v>
      </c>
      <c r="G16" s="125">
        <f>AVERAGE(G10:G13)</f>
        <v>40.529350251559002</v>
      </c>
      <c r="H16" s="125"/>
      <c r="I16" s="126">
        <f>AVERAGE(I10:I13)</f>
        <v>0.39935025155899773</v>
      </c>
    </row>
    <row r="19" spans="13:14" x14ac:dyDescent="0.25">
      <c r="M19" s="1"/>
      <c r="N19" s="1"/>
    </row>
    <row r="20" spans="13:14" x14ac:dyDescent="0.25">
      <c r="M20" s="2"/>
      <c r="N20" s="2"/>
    </row>
    <row r="21" spans="13:14" x14ac:dyDescent="0.25">
      <c r="M21" s="2"/>
      <c r="N21" s="2"/>
    </row>
    <row r="22" spans="13:14" x14ac:dyDescent="0.25">
      <c r="M22" s="2"/>
      <c r="N22" s="2"/>
    </row>
  </sheetData>
  <mergeCells count="10">
    <mergeCell ref="A4:L4"/>
    <mergeCell ref="A6:L6"/>
    <mergeCell ref="A8:A9"/>
    <mergeCell ref="B8:B9"/>
    <mergeCell ref="D8:D9"/>
    <mergeCell ref="J8:J9"/>
    <mergeCell ref="K8:L8"/>
    <mergeCell ref="C8:C9"/>
    <mergeCell ref="E8:E9"/>
    <mergeCell ref="F8:I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O22"/>
  <sheetViews>
    <sheetView topLeftCell="A6" zoomScale="75" zoomScaleNormal="75" workbookViewId="0">
      <selection activeCell="K29" sqref="K29:K30"/>
    </sheetView>
  </sheetViews>
  <sheetFormatPr defaultRowHeight="15" x14ac:dyDescent="0.25"/>
  <cols>
    <col min="1" max="1" width="8.7109375" customWidth="1"/>
    <col min="2" max="2" width="30.7109375" customWidth="1"/>
    <col min="3" max="3" width="10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4" max="14" width="12.42578125" customWidth="1"/>
  </cols>
  <sheetData>
    <row r="4" spans="1:15" ht="18.75" x14ac:dyDescent="0.3">
      <c r="A4" s="188" t="s">
        <v>183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5" ht="7.5" customHeight="1" x14ac:dyDescent="0.25"/>
    <row r="6" spans="1:15" ht="17.25" x14ac:dyDescent="0.3">
      <c r="A6" s="200" t="s">
        <v>44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5" ht="7.5" customHeight="1" x14ac:dyDescent="0.25"/>
    <row r="8" spans="1:15" s="1" customFormat="1" ht="20.25" customHeight="1" x14ac:dyDescent="0.25">
      <c r="A8" s="189" t="s">
        <v>11</v>
      </c>
      <c r="B8" s="190" t="s">
        <v>10</v>
      </c>
      <c r="C8" s="193" t="s">
        <v>19</v>
      </c>
      <c r="D8" s="190" t="s">
        <v>4</v>
      </c>
      <c r="E8" s="195" t="s">
        <v>71</v>
      </c>
      <c r="F8" s="197" t="s">
        <v>70</v>
      </c>
      <c r="G8" s="198"/>
      <c r="H8" s="198"/>
      <c r="I8" s="199"/>
      <c r="J8" s="191" t="s">
        <v>18</v>
      </c>
      <c r="K8" s="189" t="s">
        <v>9</v>
      </c>
      <c r="L8" s="189"/>
    </row>
    <row r="9" spans="1:15" s="1" customFormat="1" ht="27.75" customHeight="1" x14ac:dyDescent="0.25">
      <c r="A9" s="189"/>
      <c r="B9" s="190"/>
      <c r="C9" s="194"/>
      <c r="D9" s="190"/>
      <c r="E9" s="196"/>
      <c r="F9" s="18" t="s">
        <v>64</v>
      </c>
      <c r="G9" s="18" t="s">
        <v>65</v>
      </c>
      <c r="H9" s="18" t="s">
        <v>69</v>
      </c>
      <c r="I9" s="16" t="s">
        <v>67</v>
      </c>
      <c r="J9" s="192"/>
      <c r="K9" s="15" t="s">
        <v>8</v>
      </c>
      <c r="L9" s="15" t="s">
        <v>7</v>
      </c>
      <c r="M9" s="31" t="s">
        <v>68</v>
      </c>
      <c r="N9" s="31" t="s">
        <v>72</v>
      </c>
    </row>
    <row r="10" spans="1:15" s="2" customFormat="1" ht="30" customHeight="1" thickBot="1" x14ac:dyDescent="0.3">
      <c r="A10" s="17">
        <v>1</v>
      </c>
      <c r="B10" s="6" t="s">
        <v>63</v>
      </c>
      <c r="C10" s="5">
        <v>1</v>
      </c>
      <c r="D10" s="5">
        <v>22</v>
      </c>
      <c r="E10" s="47">
        <f>D10</f>
        <v>22</v>
      </c>
      <c r="F10" s="57">
        <v>40.799999999999997</v>
      </c>
      <c r="G10" s="59">
        <f>(40.13+40.98+41.08+40.82+41.24+41.23+40.8+41.51+41.06+40.92+41.31+41.17+41.07+41.2+41.1+41.95+41.57+42.18+41.31+41.23+41.53)/21</f>
        <v>41.209047619047624</v>
      </c>
      <c r="H10" s="55">
        <v>1</v>
      </c>
      <c r="I10" s="46">
        <f>G10-F10</f>
        <v>0.40904761904762665</v>
      </c>
      <c r="J10" s="27">
        <v>1.0636574074074074E-2</v>
      </c>
      <c r="K10" s="27">
        <f>J10</f>
        <v>1.0636574074074074E-2</v>
      </c>
      <c r="L10" s="29">
        <f>K10</f>
        <v>1.0636574074074074E-2</v>
      </c>
      <c r="M10" s="34" t="s">
        <v>149</v>
      </c>
      <c r="N10" s="86">
        <v>-48</v>
      </c>
      <c r="O10" s="2" t="s">
        <v>73</v>
      </c>
    </row>
    <row r="11" spans="1:15" s="2" customFormat="1" ht="30" customHeight="1" thickBot="1" x14ac:dyDescent="0.3">
      <c r="A11" s="17">
        <v>2</v>
      </c>
      <c r="B11" s="6" t="s">
        <v>46</v>
      </c>
      <c r="C11" s="5">
        <v>7</v>
      </c>
      <c r="D11" s="5">
        <v>77</v>
      </c>
      <c r="E11" s="47">
        <f>D11-D10</f>
        <v>55</v>
      </c>
      <c r="F11" s="130">
        <v>40.29</v>
      </c>
      <c r="G11" s="60">
        <f>(40.89+40.55+40.55+40.58+40.99+40.8+41.79+43.33+40.57+40.37+41.29+40.73+40.42+40.4+40.45+40.42+40.64+41+40.59+40.68+41+40.69+40.67+40.29+40.62+40.56+40.54+40.38+40.79+40.41+40.31+40.43+40.29+40.33+40.41+40.34+40.32+40.54+40.4+40.32+40.37+40.33+40.41+40.67+40.69+40.41+40.37+40.53+40.5+40.54+40.72+40.36+40.55+42.04)/54</f>
        <v>40.651296296296294</v>
      </c>
      <c r="H11" s="55">
        <v>12</v>
      </c>
      <c r="I11" s="36">
        <f t="shared" ref="I11:I13" si="0">G11-F11</f>
        <v>0.36129629629629534</v>
      </c>
      <c r="J11" s="27">
        <v>3.7013888888888888E-2</v>
      </c>
      <c r="K11" s="27">
        <f>J11-J10</f>
        <v>2.6377314814814812E-2</v>
      </c>
      <c r="L11" s="29">
        <f>K11</f>
        <v>2.6377314814814812E-2</v>
      </c>
      <c r="M11" s="34" t="s">
        <v>150</v>
      </c>
      <c r="N11" s="86"/>
    </row>
    <row r="12" spans="1:15" s="2" customFormat="1" ht="30" customHeight="1" thickBot="1" x14ac:dyDescent="0.3">
      <c r="A12" s="17">
        <v>3</v>
      </c>
      <c r="B12" s="6" t="s">
        <v>63</v>
      </c>
      <c r="C12" s="5">
        <v>6</v>
      </c>
      <c r="D12" s="5">
        <v>132</v>
      </c>
      <c r="E12" s="47">
        <f>D12-D11</f>
        <v>55</v>
      </c>
      <c r="F12" s="50">
        <v>40.32</v>
      </c>
      <c r="G12" s="60">
        <f>(42.01+41.69+44.88+40.6+40.71+40.72+40.65+40.66+40.52+40.53+40.47+40.45+40.68+40.9+40.55+40.59+40.51+40.68+40.82+40.44+40.54+40.74+40.62+40.52+40.52+41.83+41.74+40.71+40.99+40.87+40.83+40.32+40.62+40.72+40.74+40.58+40.56+40.65+40.51+40.81+40.61+40.68+40.54+42.32+41.04+40.71+40.54+40.44+40.9+40.79+40.72+40.61+40.58+40.54)/54</f>
        <v>40.842592592592581</v>
      </c>
      <c r="H12" s="55">
        <v>0</v>
      </c>
      <c r="I12" s="38">
        <f t="shared" si="0"/>
        <v>0.52259259259258073</v>
      </c>
      <c r="J12" s="27">
        <v>6.3773148148148148E-2</v>
      </c>
      <c r="K12" s="27">
        <f>J12-J11</f>
        <v>2.675925925925926E-2</v>
      </c>
      <c r="L12" s="27">
        <f>K12+K10</f>
        <v>3.7395833333333336E-2</v>
      </c>
      <c r="M12" s="34" t="s">
        <v>151</v>
      </c>
      <c r="N12" s="86"/>
    </row>
    <row r="13" spans="1:15" s="2" customFormat="1" ht="30" customHeight="1" thickBot="1" x14ac:dyDescent="0.3">
      <c r="A13" s="12" t="s">
        <v>17</v>
      </c>
      <c r="B13" s="9" t="s">
        <v>46</v>
      </c>
      <c r="C13" s="10">
        <v>3</v>
      </c>
      <c r="D13" s="10">
        <v>173</v>
      </c>
      <c r="E13" s="47">
        <f>D13-D12</f>
        <v>41</v>
      </c>
      <c r="F13" s="68">
        <v>40.32</v>
      </c>
      <c r="G13" s="121">
        <f>(40.44+40.6+40.64+40.68+40.56+40.84+40.88+40.85+40.65+40.61+41.2+41.31+40.49+40.52+40.41+40.59+40.45+40.63+40.59+40.8+40.81+40.86+40.79+40.83+40.58+40.74+40.71+40.55+40.7+40.43+40.51+41.09+40.32+40.49+40.86+40.69+40.67+40.62+40.83+40.75)/40</f>
        <v>40.689249999999994</v>
      </c>
      <c r="H13" s="57">
        <v>1</v>
      </c>
      <c r="I13" s="67">
        <f t="shared" si="0"/>
        <v>0.36924999999999386</v>
      </c>
      <c r="J13" s="58">
        <v>8.3807870370370366E-2</v>
      </c>
      <c r="K13" s="58">
        <f>J13-J12</f>
        <v>2.0034722222222218E-2</v>
      </c>
      <c r="L13" s="58">
        <f>K13+K11</f>
        <v>4.6412037037037029E-2</v>
      </c>
      <c r="M13" s="34"/>
      <c r="N13" s="16"/>
    </row>
    <row r="14" spans="1:15" s="2" customFormat="1" ht="30" customHeight="1" x14ac:dyDescent="0.25">
      <c r="A14" s="42"/>
      <c r="B14" s="43"/>
      <c r="C14" s="44"/>
      <c r="D14" s="44"/>
      <c r="E14" s="44"/>
      <c r="F14" s="113">
        <f>AVERAGE(F10,F12)</f>
        <v>40.56</v>
      </c>
      <c r="G14" s="114">
        <f>AVERAGE(G10,G12)</f>
        <v>41.025820105820102</v>
      </c>
      <c r="H14" s="114" t="s">
        <v>96</v>
      </c>
      <c r="I14" s="115">
        <f>AVERAGE(I10,I12)</f>
        <v>0.46582010582010369</v>
      </c>
      <c r="J14" s="44"/>
      <c r="K14" s="44"/>
      <c r="L14" s="44"/>
    </row>
    <row r="15" spans="1:15" ht="27.75" customHeight="1" x14ac:dyDescent="0.25">
      <c r="F15" s="106">
        <f>AVERAGE(F11,F13)</f>
        <v>40.305</v>
      </c>
      <c r="G15" s="64">
        <f>AVERAGE(G11,G13)</f>
        <v>40.670273148148141</v>
      </c>
      <c r="H15" s="64" t="s">
        <v>83</v>
      </c>
      <c r="I15" s="116">
        <f>AVERAGE(I11,I13)</f>
        <v>0.3652731481481446</v>
      </c>
      <c r="M15" s="2"/>
      <c r="N15" s="2"/>
    </row>
    <row r="16" spans="1:15" ht="27.75" customHeight="1" thickBot="1" x14ac:dyDescent="0.3">
      <c r="F16" s="124">
        <f>AVERAGE(F10:F13)</f>
        <v>40.432499999999997</v>
      </c>
      <c r="G16" s="125">
        <f>AVERAGE(G10:G13)</f>
        <v>40.848046626984122</v>
      </c>
      <c r="H16" s="125"/>
      <c r="I16" s="126">
        <f>AVERAGE(I10:I13)</f>
        <v>0.41554662698412415</v>
      </c>
    </row>
    <row r="19" spans="13:14" x14ac:dyDescent="0.25">
      <c r="M19" s="1"/>
      <c r="N19" s="1"/>
    </row>
    <row r="20" spans="13:14" x14ac:dyDescent="0.25">
      <c r="M20" s="2"/>
      <c r="N20" s="2"/>
    </row>
    <row r="21" spans="13:14" x14ac:dyDescent="0.25">
      <c r="M21" s="2"/>
      <c r="N21" s="2"/>
    </row>
    <row r="22" spans="13:14" x14ac:dyDescent="0.25">
      <c r="M22" s="2"/>
      <c r="N22" s="2"/>
    </row>
  </sheetData>
  <mergeCells count="10">
    <mergeCell ref="A4:L4"/>
    <mergeCell ref="A6:L6"/>
    <mergeCell ref="A8:A9"/>
    <mergeCell ref="B8:B9"/>
    <mergeCell ref="D8:D9"/>
    <mergeCell ref="J8:J9"/>
    <mergeCell ref="K8:L8"/>
    <mergeCell ref="C8:C9"/>
    <mergeCell ref="E8:E9"/>
    <mergeCell ref="F8:I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O22"/>
  <sheetViews>
    <sheetView zoomScale="75" zoomScaleNormal="75" workbookViewId="0">
      <selection activeCell="O16" sqref="O16"/>
    </sheetView>
  </sheetViews>
  <sheetFormatPr defaultRowHeight="15" x14ac:dyDescent="0.25"/>
  <cols>
    <col min="1" max="1" width="8.7109375" customWidth="1"/>
    <col min="2" max="2" width="30.7109375" customWidth="1"/>
    <col min="3" max="3" width="10.14062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4" max="14" width="12.42578125" customWidth="1"/>
  </cols>
  <sheetData>
    <row r="4" spans="1:15" ht="18.75" x14ac:dyDescent="0.3">
      <c r="A4" s="188" t="s">
        <v>183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5" ht="7.5" customHeight="1" x14ac:dyDescent="0.25"/>
    <row r="6" spans="1:15" ht="17.25" x14ac:dyDescent="0.3">
      <c r="A6" s="150" t="s">
        <v>100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5" ht="7.5" customHeight="1" x14ac:dyDescent="0.25"/>
    <row r="8" spans="1:15" s="1" customFormat="1" ht="20.25" customHeight="1" x14ac:dyDescent="0.25">
      <c r="A8" s="189" t="s">
        <v>11</v>
      </c>
      <c r="B8" s="190" t="s">
        <v>10</v>
      </c>
      <c r="C8" s="193" t="s">
        <v>19</v>
      </c>
      <c r="D8" s="190" t="s">
        <v>4</v>
      </c>
      <c r="E8" s="195" t="s">
        <v>71</v>
      </c>
      <c r="F8" s="197" t="s">
        <v>70</v>
      </c>
      <c r="G8" s="198"/>
      <c r="H8" s="198"/>
      <c r="I8" s="199"/>
      <c r="J8" s="191" t="s">
        <v>18</v>
      </c>
      <c r="K8" s="189" t="s">
        <v>9</v>
      </c>
      <c r="L8" s="189"/>
    </row>
    <row r="9" spans="1:15" s="1" customFormat="1" ht="27.75" customHeight="1" x14ac:dyDescent="0.25">
      <c r="A9" s="189"/>
      <c r="B9" s="190"/>
      <c r="C9" s="194"/>
      <c r="D9" s="190"/>
      <c r="E9" s="196"/>
      <c r="F9" s="18" t="s">
        <v>64</v>
      </c>
      <c r="G9" s="18" t="s">
        <v>65</v>
      </c>
      <c r="H9" s="18" t="s">
        <v>69</v>
      </c>
      <c r="I9" s="16" t="s">
        <v>67</v>
      </c>
      <c r="J9" s="192"/>
      <c r="K9" s="15" t="s">
        <v>8</v>
      </c>
      <c r="L9" s="15" t="s">
        <v>7</v>
      </c>
      <c r="M9" s="31" t="s">
        <v>68</v>
      </c>
      <c r="N9" s="31" t="s">
        <v>72</v>
      </c>
    </row>
    <row r="10" spans="1:15" s="2" customFormat="1" ht="30" customHeight="1" thickBot="1" x14ac:dyDescent="0.3">
      <c r="A10" s="17">
        <v>1</v>
      </c>
      <c r="B10" s="6" t="s">
        <v>27</v>
      </c>
      <c r="C10" s="5">
        <v>9</v>
      </c>
      <c r="D10" s="5">
        <v>22</v>
      </c>
      <c r="E10" s="47">
        <f>D10</f>
        <v>22</v>
      </c>
      <c r="F10" s="55">
        <v>40.47</v>
      </c>
      <c r="G10" s="59">
        <f>(44.08+40.85+40.92+42.93+41.14+40.89+40.47+40.7+40.71+41.24+41.8+40.85+40.92+40.83+40.67+40.58+41.43+42.68+44+43.7+41.13)/21</f>
        <v>41.548571428571428</v>
      </c>
      <c r="H10" s="55">
        <v>0</v>
      </c>
      <c r="I10" s="46">
        <f>G10-F10</f>
        <v>1.0785714285714292</v>
      </c>
      <c r="J10" s="27">
        <v>1.068287037037037E-2</v>
      </c>
      <c r="K10" s="27">
        <f>J10</f>
        <v>1.068287037037037E-2</v>
      </c>
      <c r="L10" s="29">
        <f>K10</f>
        <v>1.068287037037037E-2</v>
      </c>
      <c r="M10" s="34" t="s">
        <v>152</v>
      </c>
      <c r="N10" s="16">
        <v>-8</v>
      </c>
      <c r="O10" s="2" t="s">
        <v>73</v>
      </c>
    </row>
    <row r="11" spans="1:15" s="2" customFormat="1" ht="30" customHeight="1" thickBot="1" x14ac:dyDescent="0.3">
      <c r="A11" s="17">
        <v>2</v>
      </c>
      <c r="B11" s="6" t="s">
        <v>27</v>
      </c>
      <c r="C11" s="5">
        <v>33</v>
      </c>
      <c r="D11" s="5">
        <v>72</v>
      </c>
      <c r="E11" s="47">
        <f>D11-D10</f>
        <v>50</v>
      </c>
      <c r="F11" s="50">
        <v>40.270000000000003</v>
      </c>
      <c r="G11" s="59">
        <f>(41.45+40.68+40.74+40.56+40.76+40.81+40.66+40.63+40.39+40.48+40.57+40.92+40.84+40.78+40.44+40.52+40.9+40.78+40.56+40.55+40.57+40.6+40.42+40.52+40.64+40.41+40.81+40.65+40.63+40.64+40.65+40.7+40.6+40.56+40.67+40.9+40.81+40.44+40.27+40.37+40.61+40.51+40.54+40.52+40.56+40.59+40.54+40.32+42.39)/49</f>
        <v>40.662448979591836</v>
      </c>
      <c r="H11" s="55">
        <v>2</v>
      </c>
      <c r="I11" s="36">
        <f t="shared" ref="I11:I13" si="0">G11-F11</f>
        <v>0.39244897959183334</v>
      </c>
      <c r="J11" s="27">
        <v>3.5208333333333335E-2</v>
      </c>
      <c r="K11" s="27">
        <f>J11-J10</f>
        <v>2.4525462962962964E-2</v>
      </c>
      <c r="L11" s="27">
        <f>K11+K10</f>
        <v>3.5208333333333335E-2</v>
      </c>
      <c r="M11" s="34" t="s">
        <v>153</v>
      </c>
      <c r="N11" s="16"/>
    </row>
    <row r="12" spans="1:15" s="2" customFormat="1" ht="30" customHeight="1" thickBot="1" x14ac:dyDescent="0.3">
      <c r="A12" s="17">
        <v>3</v>
      </c>
      <c r="B12" s="6" t="s">
        <v>121</v>
      </c>
      <c r="C12" s="5">
        <v>3</v>
      </c>
      <c r="D12" s="5">
        <v>131</v>
      </c>
      <c r="E12" s="47">
        <f>D12-D11</f>
        <v>59</v>
      </c>
      <c r="F12" s="55">
        <v>40.17</v>
      </c>
      <c r="G12" s="59">
        <f>(40.42+40.68+40.41+40.42+40.42+40.22+42.61+40.42+40.26+40.5+40.76+40.55+40.34+40.29+40.35+40.22+40.75+40.21+40.36+40.34+40.55+40.64+40.46+40.3+40.36+40.46+41.83+40.4+40.52+41.29+40.9+40.63+40.5+40.34+40.34+40.52+40.27+40.44+40.17+40.4+41.66+40.31+40.21+40.3+40.33+41.14+40.52+40.55+40.73+40.79+40.58+40.69+40.58+40.47+40.21+46.06+40.67+40.92)/58</f>
        <v>40.665000000000006</v>
      </c>
      <c r="H12" s="55">
        <v>7</v>
      </c>
      <c r="I12" s="61">
        <f t="shared" si="0"/>
        <v>0.49500000000000455</v>
      </c>
      <c r="J12" s="27">
        <v>6.3715277777777787E-2</v>
      </c>
      <c r="K12" s="27">
        <f>J12-J11</f>
        <v>2.8506944444444453E-2</v>
      </c>
      <c r="L12" s="29">
        <f>K12</f>
        <v>2.8506944444444453E-2</v>
      </c>
      <c r="M12" s="34" t="s">
        <v>154</v>
      </c>
      <c r="N12" s="16"/>
    </row>
    <row r="13" spans="1:15" s="2" customFormat="1" ht="30" customHeight="1" thickBot="1" x14ac:dyDescent="0.3">
      <c r="A13" s="12" t="s">
        <v>17</v>
      </c>
      <c r="B13" s="9" t="s">
        <v>121</v>
      </c>
      <c r="C13" s="10">
        <v>8</v>
      </c>
      <c r="D13" s="10">
        <v>173</v>
      </c>
      <c r="E13" s="47">
        <f>D13-D12</f>
        <v>42</v>
      </c>
      <c r="F13" s="33">
        <v>39.799999999999997</v>
      </c>
      <c r="G13" s="121">
        <f>(40.12+39.8+40.11+39.99+39.86+40.08+39.87+39.98+40.27+39.93+40.02+40.15+40.26+40.03+40.5+40.1+42.87+40.23+40.51+40.91+40.28+40.14+40.07+39.94+40.18+40.55+40.66+40.84+40.49+40.11+40.37+40.5+40.48+40.64+41.91+40.77+40.35+40.46+39.92+39.96+40.12)/41</f>
        <v>40.349512195121946</v>
      </c>
      <c r="H13" s="57">
        <v>2</v>
      </c>
      <c r="I13" s="67">
        <f t="shared" si="0"/>
        <v>0.54951219512194882</v>
      </c>
      <c r="J13" s="58">
        <v>8.4027777777777771E-2</v>
      </c>
      <c r="K13" s="58">
        <f>J13-J12</f>
        <v>2.0312499999999983E-2</v>
      </c>
      <c r="L13" s="58">
        <f>K13+K12</f>
        <v>4.8819444444444436E-2</v>
      </c>
      <c r="M13" s="34"/>
      <c r="N13" s="16"/>
    </row>
    <row r="14" spans="1:15" s="2" customFormat="1" ht="30" customHeight="1" x14ac:dyDescent="0.25">
      <c r="A14" s="42"/>
      <c r="B14" s="43"/>
      <c r="C14" s="44"/>
      <c r="D14" s="44"/>
      <c r="E14" s="44"/>
      <c r="F14" s="113">
        <f>AVERAGE(F10,F11)</f>
        <v>40.370000000000005</v>
      </c>
      <c r="G14" s="114">
        <f>AVERAGE(G10,G11)</f>
        <v>41.105510204081632</v>
      </c>
      <c r="H14" s="114" t="s">
        <v>85</v>
      </c>
      <c r="I14" s="115">
        <f>AVERAGE(I10,I11)</f>
        <v>0.73551020408163126</v>
      </c>
      <c r="J14" s="44"/>
      <c r="K14" s="44"/>
      <c r="L14" s="44"/>
    </row>
    <row r="15" spans="1:15" s="2" customFormat="1" ht="30" customHeight="1" x14ac:dyDescent="0.25">
      <c r="A15" s="39"/>
      <c r="B15" s="40"/>
      <c r="C15" s="40"/>
      <c r="D15" s="41"/>
      <c r="E15" s="1"/>
      <c r="F15" s="106">
        <f>AVERAGE(F12,F13)</f>
        <v>39.984999999999999</v>
      </c>
      <c r="G15" s="64">
        <f>AVERAGE(G12,G13)</f>
        <v>40.507256097560976</v>
      </c>
      <c r="H15" s="64" t="s">
        <v>81</v>
      </c>
      <c r="I15" s="116">
        <f>AVERAGE(I12,I13)</f>
        <v>0.52225609756097668</v>
      </c>
      <c r="J15" s="41"/>
      <c r="K15" s="41"/>
      <c r="L15" s="41"/>
    </row>
    <row r="16" spans="1:15" ht="27.75" customHeight="1" thickBot="1" x14ac:dyDescent="0.3">
      <c r="F16" s="124">
        <f>AVERAGE(F10:F13)</f>
        <v>40.177500000000002</v>
      </c>
      <c r="G16" s="125">
        <f>AVERAGE(G10:G13)</f>
        <v>40.806383150821304</v>
      </c>
      <c r="H16" s="125"/>
      <c r="I16" s="126">
        <f>AVERAGE(I10:I13)</f>
        <v>0.62888315082130397</v>
      </c>
    </row>
    <row r="19" spans="13:14" x14ac:dyDescent="0.25">
      <c r="M19" s="1"/>
      <c r="N19" s="1"/>
    </row>
    <row r="20" spans="13:14" x14ac:dyDescent="0.25">
      <c r="M20" s="2"/>
      <c r="N20" s="2"/>
    </row>
    <row r="21" spans="13:14" x14ac:dyDescent="0.25">
      <c r="M21" s="2"/>
      <c r="N21" s="2"/>
    </row>
    <row r="22" spans="13:14" x14ac:dyDescent="0.25">
      <c r="M22" s="2"/>
      <c r="N22" s="2"/>
    </row>
  </sheetData>
  <mergeCells count="10">
    <mergeCell ref="A4:L4"/>
    <mergeCell ref="A6:L6"/>
    <mergeCell ref="A8:A9"/>
    <mergeCell ref="B8:B9"/>
    <mergeCell ref="D8:D9"/>
    <mergeCell ref="J8:J9"/>
    <mergeCell ref="K8:L8"/>
    <mergeCell ref="C8:C9"/>
    <mergeCell ref="E8:E9"/>
    <mergeCell ref="F8:I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N16"/>
  <sheetViews>
    <sheetView zoomScale="75" zoomScaleNormal="75" workbookViewId="0">
      <selection activeCell="A4" sqref="A4:L4"/>
    </sheetView>
  </sheetViews>
  <sheetFormatPr defaultRowHeight="15" x14ac:dyDescent="0.25"/>
  <cols>
    <col min="1" max="1" width="8.7109375" customWidth="1"/>
    <col min="2" max="2" width="30.7109375" customWidth="1"/>
    <col min="3" max="3" width="10.5703125" customWidth="1"/>
    <col min="4" max="6" width="9.42578125" style="1" customWidth="1"/>
    <col min="7" max="7" width="11.28515625" style="1" customWidth="1"/>
    <col min="8" max="8" width="12.85546875" style="1" customWidth="1"/>
    <col min="9" max="9" width="13.5703125" style="1" customWidth="1"/>
    <col min="10" max="10" width="13" style="1" customWidth="1"/>
    <col min="11" max="11" width="12" style="1" customWidth="1"/>
    <col min="12" max="12" width="15.85546875" style="1" customWidth="1"/>
    <col min="13" max="13" width="15.85546875" customWidth="1"/>
    <col min="14" max="14" width="12.42578125" customWidth="1"/>
  </cols>
  <sheetData>
    <row r="4" spans="1:14" ht="18.75" x14ac:dyDescent="0.3">
      <c r="A4" s="188" t="s">
        <v>183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4" ht="7.5" customHeight="1" x14ac:dyDescent="0.25"/>
    <row r="6" spans="1:14" ht="17.25" x14ac:dyDescent="0.3">
      <c r="A6" s="150" t="s">
        <v>20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4" ht="7.5" customHeight="1" x14ac:dyDescent="0.25"/>
    <row r="8" spans="1:14" s="1" customFormat="1" ht="20.25" customHeight="1" x14ac:dyDescent="0.25">
      <c r="A8" s="189" t="s">
        <v>11</v>
      </c>
      <c r="B8" s="190" t="s">
        <v>10</v>
      </c>
      <c r="C8" s="193" t="s">
        <v>19</v>
      </c>
      <c r="D8" s="190" t="s">
        <v>4</v>
      </c>
      <c r="E8" s="195" t="s">
        <v>71</v>
      </c>
      <c r="F8" s="197" t="s">
        <v>70</v>
      </c>
      <c r="G8" s="198"/>
      <c r="H8" s="198"/>
      <c r="I8" s="199"/>
      <c r="J8" s="191" t="s">
        <v>18</v>
      </c>
      <c r="K8" s="189" t="s">
        <v>9</v>
      </c>
      <c r="L8" s="189"/>
    </row>
    <row r="9" spans="1:14" s="1" customFormat="1" ht="27.75" customHeight="1" thickBot="1" x14ac:dyDescent="0.3">
      <c r="A9" s="189"/>
      <c r="B9" s="190"/>
      <c r="C9" s="194"/>
      <c r="D9" s="190"/>
      <c r="E9" s="196"/>
      <c r="F9" s="18" t="s">
        <v>64</v>
      </c>
      <c r="G9" s="18" t="s">
        <v>65</v>
      </c>
      <c r="H9" s="18" t="s">
        <v>69</v>
      </c>
      <c r="I9" s="16" t="s">
        <v>67</v>
      </c>
      <c r="J9" s="192"/>
      <c r="K9" s="15" t="s">
        <v>8</v>
      </c>
      <c r="L9" s="15" t="s">
        <v>7</v>
      </c>
      <c r="M9" s="31" t="s">
        <v>68</v>
      </c>
      <c r="N9" s="31" t="s">
        <v>72</v>
      </c>
    </row>
    <row r="10" spans="1:14" s="2" customFormat="1" ht="30" customHeight="1" thickBot="1" x14ac:dyDescent="0.3">
      <c r="A10" s="17">
        <v>1</v>
      </c>
      <c r="B10" s="6" t="s">
        <v>124</v>
      </c>
      <c r="C10" s="5">
        <v>10</v>
      </c>
      <c r="D10" s="5">
        <v>43</v>
      </c>
      <c r="E10" s="47">
        <f>D10</f>
        <v>43</v>
      </c>
      <c r="F10" s="50">
        <v>40.31</v>
      </c>
      <c r="G10" s="60">
        <f>(45.68+41.1+41.02+40.92+41.08+40.77+40.59+40.68+41.25+42.25+40.7+41.12+40.69+40.39+40.74+40.57+40.84+42.35+43.52+41.09+41.37+41.45+40.77+40.96+41.1+41.05+40.91+41.07+41.15+41.81+43.11+40.69+40.35+40.71+40.31+40.33+40.45+41.06+40.79+40.72+40.8+41.07)/42</f>
        <v>41.175714285714285</v>
      </c>
      <c r="H10" s="55">
        <v>3</v>
      </c>
      <c r="I10" s="36">
        <f>G10-F10</f>
        <v>0.86571428571428299</v>
      </c>
      <c r="J10" s="27">
        <v>2.0601851851851854E-2</v>
      </c>
      <c r="K10" s="27">
        <f>J10</f>
        <v>2.0601851851851854E-2</v>
      </c>
      <c r="L10" s="29">
        <f>K10</f>
        <v>2.0601851851851854E-2</v>
      </c>
      <c r="M10" s="34" t="s">
        <v>156</v>
      </c>
      <c r="N10" s="16"/>
    </row>
    <row r="11" spans="1:14" s="2" customFormat="1" ht="30" customHeight="1" thickBot="1" x14ac:dyDescent="0.3">
      <c r="A11" s="17">
        <v>2</v>
      </c>
      <c r="B11" s="6" t="s">
        <v>21</v>
      </c>
      <c r="C11" s="5">
        <v>69</v>
      </c>
      <c r="D11" s="5">
        <v>107</v>
      </c>
      <c r="E11" s="47">
        <f>D11-D10</f>
        <v>64</v>
      </c>
      <c r="F11" s="127">
        <v>39.880000000000003</v>
      </c>
      <c r="G11" s="60">
        <f>(40.59+40.3+40.14+40.3+40.2+40.18+40.1+40.21+40.18+40.01+40.63+39.94+40.06+40.2+40.1+40.29+40.35+40.1+40.18+40.13+40+40.03+40.02+40.24+40.34+41.23+40.24+40.98+40.04+40.55+40.16+40.01+39.88+40.34+39.97+40.05+40.01+40.16+40.31+39.95+40.01+40.42+40.11+40.35+39.97+40.22+39.97+40.04+40.27+40.26+40.09+40.17+40.11+40.34+40.2+40.17+40.24+40.08+40.11+40.29+40.8+40.35+40.45)/63</f>
        <v>40.217777777777776</v>
      </c>
      <c r="H11" s="55">
        <v>5</v>
      </c>
      <c r="I11" s="46">
        <f t="shared" ref="I11:I13" si="0">G11-F11</f>
        <v>0.33777777777777374</v>
      </c>
      <c r="J11" s="27">
        <v>5.1493055555555556E-2</v>
      </c>
      <c r="K11" s="27">
        <f>J11-J10</f>
        <v>3.0891203703703702E-2</v>
      </c>
      <c r="L11" s="27">
        <f>K11+K10</f>
        <v>5.1493055555555556E-2</v>
      </c>
      <c r="M11" s="34" t="s">
        <v>157</v>
      </c>
      <c r="N11" s="16"/>
    </row>
    <row r="12" spans="1:14" s="2" customFormat="1" ht="30" customHeight="1" thickBot="1" x14ac:dyDescent="0.3">
      <c r="A12" s="17">
        <v>3</v>
      </c>
      <c r="B12" s="6" t="s">
        <v>124</v>
      </c>
      <c r="C12" s="5">
        <v>10</v>
      </c>
      <c r="D12" s="5">
        <v>145</v>
      </c>
      <c r="E12" s="47">
        <f>D12-D11</f>
        <v>38</v>
      </c>
      <c r="F12" s="50">
        <v>40.31</v>
      </c>
      <c r="G12" s="60">
        <f>(41.2+41.54+40.87+40.7+40.31+40.37+40.55+40.76+40.79+41.03+41.41+41.73+40.9+40.93+40.57+40.78+40.48+40.47+41.11+40.58+40.5+41.23+40.91+40.58+40.62+40.66+40.63+40.58+40.6+40.4+40.59+40.41+40.5+40.41+40.54+40.51+40.69)/37</f>
        <v>40.741621621621633</v>
      </c>
      <c r="H12" s="55">
        <v>4</v>
      </c>
      <c r="I12" s="38">
        <f t="shared" si="0"/>
        <v>0.43162162162163042</v>
      </c>
      <c r="J12" s="27">
        <v>7.013888888888889E-2</v>
      </c>
      <c r="K12" s="27">
        <f>J12-J11</f>
        <v>1.8645833333333334E-2</v>
      </c>
      <c r="L12" s="29">
        <f>K12</f>
        <v>1.8645833333333334E-2</v>
      </c>
      <c r="M12" s="34" t="s">
        <v>158</v>
      </c>
      <c r="N12" s="16"/>
    </row>
    <row r="13" spans="1:14" s="2" customFormat="1" ht="30" customHeight="1" thickBot="1" x14ac:dyDescent="0.3">
      <c r="A13" s="12" t="s">
        <v>17</v>
      </c>
      <c r="B13" s="6" t="s">
        <v>21</v>
      </c>
      <c r="C13" s="5">
        <v>6</v>
      </c>
      <c r="D13" s="10">
        <v>173</v>
      </c>
      <c r="E13" s="47">
        <f>D13-D12</f>
        <v>28</v>
      </c>
      <c r="F13" s="68">
        <v>40.04</v>
      </c>
      <c r="G13" s="121">
        <f>(40.83+40.55+40.43+41.02+40.38+40.51+40.26+40.46+41.41+41.3+42.53+41.08+40.7+40.71+40.37+40.04+40.7+40.44+40.38+40.75+41.83+40.88+40.27+40.98+40.12+40.19+40.06)/27</f>
        <v>40.71037037037037</v>
      </c>
      <c r="H13" s="57">
        <v>2</v>
      </c>
      <c r="I13" s="67">
        <f t="shared" si="0"/>
        <v>0.67037037037037095</v>
      </c>
      <c r="J13" s="58">
        <v>8.4039351851851851E-2</v>
      </c>
      <c r="K13" s="58">
        <f>J13-J12</f>
        <v>1.3900462962962962E-2</v>
      </c>
      <c r="L13" s="58">
        <f>K13+K12</f>
        <v>3.2546296296296295E-2</v>
      </c>
      <c r="M13" s="34"/>
      <c r="N13" s="16"/>
    </row>
    <row r="14" spans="1:14" s="2" customFormat="1" ht="30" customHeight="1" x14ac:dyDescent="0.25">
      <c r="A14" s="42"/>
      <c r="B14" s="43"/>
      <c r="C14" s="44"/>
      <c r="D14" s="44"/>
      <c r="E14" s="44"/>
      <c r="F14" s="113">
        <f>AVERAGE(F10,F12)</f>
        <v>40.31</v>
      </c>
      <c r="G14" s="114">
        <f t="shared" ref="G14" si="1">AVERAGE(G10,G12)</f>
        <v>40.958667953667955</v>
      </c>
      <c r="H14" s="114" t="s">
        <v>155</v>
      </c>
      <c r="I14" s="115">
        <f>AVERAGE(I10,I12)</f>
        <v>0.64866795366795671</v>
      </c>
      <c r="J14" s="44"/>
      <c r="K14" s="44"/>
      <c r="L14" s="44"/>
    </row>
    <row r="15" spans="1:14" ht="26.25" customHeight="1" x14ac:dyDescent="0.25">
      <c r="F15" s="106">
        <f>AVERAGE(F11,F13)</f>
        <v>39.96</v>
      </c>
      <c r="G15" s="64">
        <f t="shared" ref="G15" si="2">AVERAGE(G11,G13)</f>
        <v>40.464074074074077</v>
      </c>
      <c r="H15" s="64" t="s">
        <v>80</v>
      </c>
      <c r="I15" s="116">
        <f>AVERAGE(I11,I13)</f>
        <v>0.50407407407407234</v>
      </c>
    </row>
    <row r="16" spans="1:14" ht="27.75" customHeight="1" thickBot="1" x14ac:dyDescent="0.3">
      <c r="F16" s="124">
        <f>AVERAGE(F10:F13)</f>
        <v>40.134999999999998</v>
      </c>
      <c r="G16" s="125">
        <f>AVERAGE(G10:G13)</f>
        <v>40.711371013871016</v>
      </c>
      <c r="H16" s="125"/>
      <c r="I16" s="126">
        <f>AVERAGE(I10:I13)</f>
        <v>0.57637101387101453</v>
      </c>
    </row>
  </sheetData>
  <mergeCells count="10">
    <mergeCell ref="A4:L4"/>
    <mergeCell ref="A6:L6"/>
    <mergeCell ref="A8:A9"/>
    <mergeCell ref="B8:B9"/>
    <mergeCell ref="D8:D9"/>
    <mergeCell ref="J8:J9"/>
    <mergeCell ref="K8:L8"/>
    <mergeCell ref="C8:C9"/>
    <mergeCell ref="E8:E9"/>
    <mergeCell ref="F8:I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Общие результаты</vt:lpstr>
      <vt:lpstr>Регистрация</vt:lpstr>
      <vt:lpstr>Winni</vt:lpstr>
      <vt:lpstr>Kozak i razboyniki</vt:lpstr>
      <vt:lpstr>Mesnyki</vt:lpstr>
      <vt:lpstr>Ognem Racing</vt:lpstr>
      <vt:lpstr>FNT</vt:lpstr>
      <vt:lpstr>Хрен Догонишь</vt:lpstr>
      <vt:lpstr>Fury</vt:lpstr>
      <vt:lpstr>RocknRolla</vt:lpstr>
      <vt:lpstr>Fortune</vt:lpstr>
      <vt:lpstr>Levi 9</vt:lpstr>
      <vt:lpstr>Jaguar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Картинг</cp:lastModifiedBy>
  <cp:lastPrinted>2016-07-05T12:34:18Z</cp:lastPrinted>
  <dcterms:created xsi:type="dcterms:W3CDTF">2012-07-06T15:34:01Z</dcterms:created>
  <dcterms:modified xsi:type="dcterms:W3CDTF">2016-07-21T12:17:44Z</dcterms:modified>
</cp:coreProperties>
</file>