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5480" windowHeight="8985" tabRatio="857"/>
  </bookViews>
  <sheets>
    <sheet name="Общие результаты" sheetId="22" r:id="rId1"/>
    <sheet name="Регистрация" sheetId="23" r:id="rId2"/>
    <sheet name="Ognem Racing" sheetId="29" r:id="rId3"/>
    <sheet name="Winny" sheetId="30" r:id="rId4"/>
    <sheet name="Fury" sheetId="31" r:id="rId5"/>
    <sheet name="FNT" sheetId="32" r:id="rId6"/>
    <sheet name="Kozak i razboiniki" sheetId="28" r:id="rId7"/>
    <sheet name="Mesnyki" sheetId="27" r:id="rId8"/>
    <sheet name="Levi-9" sheetId="15" r:id="rId9"/>
    <sheet name="dbCar" sheetId="25" r:id="rId10"/>
    <sheet name="Jaguar" sheetId="26" r:id="rId11"/>
  </sheets>
  <calcPr calcId="125725"/>
</workbook>
</file>

<file path=xl/calcChain.xml><?xml version="1.0" encoding="utf-8"?>
<calcChain xmlns="http://schemas.openxmlformats.org/spreadsheetml/2006/main">
  <c r="F15" i="31"/>
  <c r="F14"/>
  <c r="F15" i="29"/>
  <c r="F14"/>
  <c r="G15" i="27"/>
  <c r="G14"/>
  <c r="F15"/>
  <c r="F14"/>
  <c r="G15" i="32" l="1"/>
  <c r="G14"/>
  <c r="L13"/>
  <c r="L12"/>
  <c r="L11"/>
  <c r="G13"/>
  <c r="G12"/>
  <c r="G11"/>
  <c r="G10"/>
  <c r="G13" i="28"/>
  <c r="G12"/>
  <c r="G11"/>
  <c r="G10"/>
  <c r="L13"/>
  <c r="L12"/>
  <c r="L11"/>
  <c r="G14"/>
  <c r="G15"/>
  <c r="G13" i="29"/>
  <c r="G12"/>
  <c r="G11"/>
  <c r="G10"/>
  <c r="L13"/>
  <c r="L12"/>
  <c r="L11"/>
  <c r="G13" i="31"/>
  <c r="L13"/>
  <c r="L12"/>
  <c r="L11"/>
  <c r="G12"/>
  <c r="G11"/>
  <c r="G10"/>
  <c r="G13" i="30"/>
  <c r="G12"/>
  <c r="G11"/>
  <c r="L13"/>
  <c r="L11"/>
  <c r="L12"/>
  <c r="L13" i="27"/>
  <c r="L12"/>
  <c r="L11"/>
  <c r="G13"/>
  <c r="G12"/>
  <c r="G11"/>
  <c r="G10"/>
  <c r="L11" i="25"/>
  <c r="G16" i="15"/>
  <c r="G15" i="25"/>
  <c r="G14"/>
  <c r="G15" i="26"/>
  <c r="G14"/>
  <c r="L13"/>
  <c r="L12"/>
  <c r="L11"/>
  <c r="G12"/>
  <c r="G11"/>
  <c r="G10"/>
  <c r="G13"/>
  <c r="I11" i="25"/>
  <c r="L12"/>
  <c r="L13"/>
  <c r="G13"/>
  <c r="G12"/>
  <c r="G11"/>
  <c r="E12"/>
  <c r="G10"/>
  <c r="G13" i="15"/>
  <c r="G12"/>
  <c r="L13"/>
  <c r="K13"/>
  <c r="K12"/>
  <c r="L11"/>
  <c r="L10"/>
  <c r="I13"/>
  <c r="I12"/>
  <c r="I11"/>
  <c r="I10"/>
  <c r="G11"/>
  <c r="G10"/>
  <c r="G15"/>
  <c r="G14"/>
  <c r="G10" i="30"/>
  <c r="I10"/>
  <c r="G24" i="23"/>
  <c r="G23"/>
  <c r="G22"/>
  <c r="G20"/>
  <c r="G18"/>
  <c r="G15"/>
  <c r="G14"/>
  <c r="G8"/>
  <c r="G16" i="32" l="1"/>
  <c r="F16"/>
  <c r="F15"/>
  <c r="F14"/>
  <c r="K13"/>
  <c r="I13"/>
  <c r="E13"/>
  <c r="K12"/>
  <c r="I12"/>
  <c r="E12"/>
  <c r="K11"/>
  <c r="I11"/>
  <c r="E11"/>
  <c r="K10"/>
  <c r="L10" s="1"/>
  <c r="I10"/>
  <c r="E10"/>
  <c r="G16" i="31"/>
  <c r="F16"/>
  <c r="G15"/>
  <c r="G14"/>
  <c r="K13"/>
  <c r="I13"/>
  <c r="E13"/>
  <c r="K12"/>
  <c r="I12"/>
  <c r="E12"/>
  <c r="K11"/>
  <c r="I11"/>
  <c r="E11"/>
  <c r="K10"/>
  <c r="L10" s="1"/>
  <c r="I10"/>
  <c r="E10"/>
  <c r="G16" i="30"/>
  <c r="F16"/>
  <c r="G15"/>
  <c r="F15"/>
  <c r="G14"/>
  <c r="F14"/>
  <c r="K13"/>
  <c r="I13"/>
  <c r="E13"/>
  <c r="K12"/>
  <c r="I12"/>
  <c r="E12"/>
  <c r="K11"/>
  <c r="I11"/>
  <c r="E11"/>
  <c r="K10"/>
  <c r="L10" s="1"/>
  <c r="E10"/>
  <c r="G16" i="29"/>
  <c r="F16"/>
  <c r="G15"/>
  <c r="G14"/>
  <c r="K13"/>
  <c r="I13"/>
  <c r="E13"/>
  <c r="K12"/>
  <c r="I12"/>
  <c r="E12"/>
  <c r="K11"/>
  <c r="I11"/>
  <c r="E11"/>
  <c r="K10"/>
  <c r="L10" s="1"/>
  <c r="I10"/>
  <c r="E10"/>
  <c r="G16" i="28"/>
  <c r="F16"/>
  <c r="F15"/>
  <c r="F14"/>
  <c r="K13"/>
  <c r="I13"/>
  <c r="E13"/>
  <c r="K12"/>
  <c r="I12"/>
  <c r="E12"/>
  <c r="K11"/>
  <c r="I11"/>
  <c r="E11"/>
  <c r="K10"/>
  <c r="L10" s="1"/>
  <c r="I10"/>
  <c r="E10"/>
  <c r="G16" i="27"/>
  <c r="F16"/>
  <c r="K13"/>
  <c r="I13"/>
  <c r="E13"/>
  <c r="K12"/>
  <c r="I12"/>
  <c r="E12"/>
  <c r="K11"/>
  <c r="I11"/>
  <c r="E11"/>
  <c r="K10"/>
  <c r="L10" s="1"/>
  <c r="I10"/>
  <c r="E10"/>
  <c r="G16" i="26"/>
  <c r="F16"/>
  <c r="F15"/>
  <c r="F14"/>
  <c r="K13"/>
  <c r="I13"/>
  <c r="E13"/>
  <c r="K12"/>
  <c r="I12"/>
  <c r="E12"/>
  <c r="K11"/>
  <c r="I11"/>
  <c r="E11"/>
  <c r="K10"/>
  <c r="L10" s="1"/>
  <c r="I10"/>
  <c r="E10"/>
  <c r="G16" i="25"/>
  <c r="F16"/>
  <c r="F15"/>
  <c r="F14"/>
  <c r="K13"/>
  <c r="I13"/>
  <c r="E13"/>
  <c r="K12"/>
  <c r="I12"/>
  <c r="K11"/>
  <c r="K10"/>
  <c r="L10" s="1"/>
  <c r="I10"/>
  <c r="E10"/>
  <c r="I15" i="32" l="1"/>
  <c r="I16"/>
  <c r="I15" i="28"/>
  <c r="I16"/>
  <c r="I15" i="29"/>
  <c r="I16"/>
  <c r="I15" i="31"/>
  <c r="I16"/>
  <c r="I15" i="30"/>
  <c r="I15" i="27"/>
  <c r="I16"/>
  <c r="I16" i="26"/>
  <c r="I15"/>
  <c r="I16" i="25"/>
  <c r="I15"/>
  <c r="I16" i="30"/>
  <c r="I14" i="32"/>
  <c r="I14" i="31"/>
  <c r="I14" i="30"/>
  <c r="I14" i="29"/>
  <c r="I14" i="28"/>
  <c r="I14" i="27"/>
  <c r="I14" i="26"/>
  <c r="I14" i="25"/>
  <c r="F15" i="15" l="1"/>
  <c r="F14"/>
  <c r="H23" i="23"/>
  <c r="H21"/>
  <c r="H19"/>
  <c r="H17"/>
  <c r="H15"/>
  <c r="H13"/>
  <c r="H11"/>
  <c r="H9"/>
  <c r="H7"/>
  <c r="F16" i="15" l="1"/>
  <c r="E10" l="1"/>
  <c r="K11"/>
  <c r="K10"/>
  <c r="I15" l="1"/>
  <c r="I14"/>
  <c r="I16" l="1"/>
  <c r="L12" l="1"/>
</calcChain>
</file>

<file path=xl/comments1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2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3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4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5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6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7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8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9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sharedStrings.xml><?xml version="1.0" encoding="utf-8"?>
<sst xmlns="http://schemas.openxmlformats.org/spreadsheetml/2006/main" count="369" uniqueCount="162">
  <si>
    <t>Круг</t>
  </si>
  <si>
    <t>всего у пилота</t>
  </si>
  <si>
    <t>отрезок</t>
  </si>
  <si>
    <t>Пилот</t>
  </si>
  <si>
    <t>Обяза-тельные</t>
  </si>
  <si>
    <t>Команда</t>
  </si>
  <si>
    <t>№</t>
  </si>
  <si>
    <t>Вес</t>
  </si>
  <si>
    <t>Регистрационная форма</t>
  </si>
  <si>
    <t>Финиш</t>
  </si>
  <si>
    <t>Общее время гонки</t>
  </si>
  <si>
    <t>карт</t>
  </si>
  <si>
    <t>Fury</t>
  </si>
  <si>
    <t>Хавило Дима</t>
  </si>
  <si>
    <t>Mesnyki</t>
  </si>
  <si>
    <t>Голубченко Саша</t>
  </si>
  <si>
    <t>3-1</t>
  </si>
  <si>
    <t>3-2</t>
  </si>
  <si>
    <t>7-1</t>
  </si>
  <si>
    <t>7-2</t>
  </si>
  <si>
    <t>Онащук Максим</t>
  </si>
  <si>
    <t>Хлопонин Андрей</t>
  </si>
  <si>
    <t>1-1</t>
  </si>
  <si>
    <t>1-2</t>
  </si>
  <si>
    <t>Трофименко Иван</t>
  </si>
  <si>
    <t>8-1</t>
  </si>
  <si>
    <t>Лабинский Николай</t>
  </si>
  <si>
    <t>8-2</t>
  </si>
  <si>
    <t>FNT</t>
  </si>
  <si>
    <t>4-1</t>
  </si>
  <si>
    <t>Несторенко Андрей</t>
  </si>
  <si>
    <t>4-2</t>
  </si>
  <si>
    <t>9-1</t>
  </si>
  <si>
    <t>9-2</t>
  </si>
  <si>
    <t>Jaguar</t>
  </si>
  <si>
    <t>Лихошерст Алексей</t>
  </si>
  <si>
    <t>2-1</t>
  </si>
  <si>
    <t>2-2</t>
  </si>
  <si>
    <t>Манило Денис</t>
  </si>
  <si>
    <t>5-1</t>
  </si>
  <si>
    <t>5-2</t>
  </si>
  <si>
    <t>Квала</t>
  </si>
  <si>
    <t>Место</t>
  </si>
  <si>
    <t>Среднее</t>
  </si>
  <si>
    <t>Лучший круг</t>
  </si>
  <si>
    <t>Среднее на отрезке</t>
  </si>
  <si>
    <t>стабильность</t>
  </si>
  <si>
    <t>Питы</t>
  </si>
  <si>
    <t>Кругов в 0,1 от лучшего</t>
  </si>
  <si>
    <t>кругов на отрезке</t>
  </si>
  <si>
    <t>Штрафы/ бонусы (сек)</t>
  </si>
  <si>
    <t>Статистика по кругам</t>
  </si>
  <si>
    <t>Денис</t>
  </si>
  <si>
    <t>Ваня</t>
  </si>
  <si>
    <t>Дима</t>
  </si>
  <si>
    <t>Олег</t>
  </si>
  <si>
    <t>Андрей</t>
  </si>
  <si>
    <t>Максим</t>
  </si>
  <si>
    <t>Саша</t>
  </si>
  <si>
    <t>№ в гонке</t>
  </si>
  <si>
    <t>Гонка</t>
  </si>
  <si>
    <t>Лучший круг в гонке</t>
  </si>
  <si>
    <t>Время</t>
  </si>
  <si>
    <t>Круги</t>
  </si>
  <si>
    <t>Время/от лидера</t>
  </si>
  <si>
    <t>От места выше</t>
  </si>
  <si>
    <t>На круге</t>
  </si>
  <si>
    <t>Место в гонке</t>
  </si>
  <si>
    <t>Виталик</t>
  </si>
  <si>
    <t>Winni</t>
  </si>
  <si>
    <t>1 lap</t>
  </si>
  <si>
    <t>-</t>
  </si>
  <si>
    <t>2 lap</t>
  </si>
  <si>
    <t>3 lap</t>
  </si>
  <si>
    <t>Наум</t>
  </si>
  <si>
    <t>Бахмацкий Олег</t>
  </si>
  <si>
    <t>6-1</t>
  </si>
  <si>
    <t>80</t>
  </si>
  <si>
    <t>Шутка Виталий</t>
  </si>
  <si>
    <t>6-2</t>
  </si>
  <si>
    <t>85</t>
  </si>
  <si>
    <t>Ognem Rasing</t>
  </si>
  <si>
    <t>73</t>
  </si>
  <si>
    <t>Kozak I razboiniki</t>
  </si>
  <si>
    <t>Levi-9</t>
  </si>
  <si>
    <t>Линнык Владимир</t>
  </si>
  <si>
    <t>Серия мини марафонов "Большие Гонки 2016", 3-й этап, 16.07.16</t>
  </si>
  <si>
    <t>Время на трассе</t>
  </si>
  <si>
    <t>Трофименко Ваня</t>
  </si>
  <si>
    <t>91</t>
  </si>
  <si>
    <t>66</t>
  </si>
  <si>
    <t>dbCAR</t>
  </si>
  <si>
    <t>Линник Владимир</t>
  </si>
  <si>
    <t>Таволжан  Виталий</t>
  </si>
  <si>
    <t>Плакидюк Виталик</t>
  </si>
  <si>
    <t>Пикулин Павел</t>
  </si>
  <si>
    <t>Горошко Игорь</t>
  </si>
  <si>
    <t>95</t>
  </si>
  <si>
    <t>103</t>
  </si>
  <si>
    <t>Кичмаренко Олег</t>
  </si>
  <si>
    <t xml:space="preserve"> </t>
  </si>
  <si>
    <t>Название команды Levi-9</t>
  </si>
  <si>
    <t>Название команды db CAR</t>
  </si>
  <si>
    <t>Название команды Jaguar</t>
  </si>
  <si>
    <t>Название команды Mesnyki</t>
  </si>
  <si>
    <t>Название команды Kozak I razboiniki</t>
  </si>
  <si>
    <t>Название команды Ognem Racing</t>
  </si>
  <si>
    <t>Название команды Winny</t>
  </si>
  <si>
    <t>Название команды Fury</t>
  </si>
  <si>
    <t>Название команды FNT</t>
  </si>
  <si>
    <t>Таволжан Виталик</t>
  </si>
  <si>
    <t>Шутка Виталик</t>
  </si>
  <si>
    <t>5 сек(линия)</t>
  </si>
  <si>
    <t>2х5 сек за подбивание №8</t>
  </si>
  <si>
    <t>5 сек (переехали линию)</t>
  </si>
  <si>
    <t>65сек за лимит отрезка</t>
  </si>
  <si>
    <t>2:00:25.91</t>
  </si>
  <si>
    <t>Ognem Raсing</t>
  </si>
  <si>
    <t>2:06.29</t>
  </si>
  <si>
    <t>2:14.19</t>
  </si>
  <si>
    <t>2:15.01</t>
  </si>
  <si>
    <t>2:07.10</t>
  </si>
  <si>
    <t>2:15.09</t>
  </si>
  <si>
    <t>2:14.02</t>
  </si>
  <si>
    <t>2:20.03</t>
  </si>
  <si>
    <t>2:14.91</t>
  </si>
  <si>
    <t>2:15.06</t>
  </si>
  <si>
    <t>2:15.62</t>
  </si>
  <si>
    <t>2:15.38</t>
  </si>
  <si>
    <t>2:16.55</t>
  </si>
  <si>
    <t>2:11.95</t>
  </si>
  <si>
    <t>2:14.50</t>
  </si>
  <si>
    <t>2:13.20</t>
  </si>
  <si>
    <t>2:05.52</t>
  </si>
  <si>
    <t>2:18.69</t>
  </si>
  <si>
    <t>2:13.71</t>
  </si>
  <si>
    <t>1:58.30</t>
  </si>
  <si>
    <t>2:18.83</t>
  </si>
  <si>
    <t>2:13.35</t>
  </si>
  <si>
    <t>2:15.55</t>
  </si>
  <si>
    <t>2:19.62</t>
  </si>
  <si>
    <t>2:14.62</t>
  </si>
  <si>
    <t>1:29.64</t>
  </si>
  <si>
    <t>2:13.74</t>
  </si>
  <si>
    <t>2:19.34</t>
  </si>
  <si>
    <t>Коля</t>
  </si>
  <si>
    <t>Владимир</t>
  </si>
  <si>
    <t>Лёша</t>
  </si>
  <si>
    <t>Павел</t>
  </si>
  <si>
    <t>Игорь</t>
  </si>
  <si>
    <t>Конфигурация #9R</t>
  </si>
  <si>
    <t>29.00</t>
  </si>
  <si>
    <t>2 laps</t>
  </si>
  <si>
    <t>минус 4 сек.(раньше выпустили на 1 пите)</t>
  </si>
  <si>
    <t>Бонус</t>
  </si>
  <si>
    <t>8 сек</t>
  </si>
  <si>
    <t>4 сек</t>
  </si>
  <si>
    <t>16 сек</t>
  </si>
  <si>
    <t>56 сек</t>
  </si>
  <si>
    <t>Серия мини марафонов "Большие Гонки", 16.07.2016, Конфигурация №9R</t>
  </si>
  <si>
    <t>Квалификация</t>
  </si>
  <si>
    <t>Чемпионат мини марафон "Большие Гонки", 3-й этап</t>
  </si>
</sst>
</file>

<file path=xl/styles.xml><?xml version="1.0" encoding="utf-8"?>
<styleSheet xmlns="http://schemas.openxmlformats.org/spreadsheetml/2006/main">
  <numFmts count="4">
    <numFmt numFmtId="164" formatCode="h:mm:ss;@"/>
    <numFmt numFmtId="165" formatCode="0.000"/>
    <numFmt numFmtId="166" formatCode="mm:ss.0;@"/>
    <numFmt numFmtId="167" formatCode="[h]:mm:ss;@"/>
  </numFmts>
  <fonts count="2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trike/>
      <sz val="12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2"/>
      <color rgb="FFFF0000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5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0" xfId="0" applyBorder="1"/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0" fillId="0" borderId="20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165" fontId="10" fillId="0" borderId="26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11" fillId="4" borderId="4" xfId="0" applyNumberFormat="1" applyFont="1" applyFill="1" applyBorder="1" applyAlignment="1">
      <alignment horizontal="center" vertical="center"/>
    </xf>
    <xf numFmtId="165" fontId="11" fillId="4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5" fontId="16" fillId="0" borderId="20" xfId="0" applyNumberFormat="1" applyFont="1" applyFill="1" applyBorder="1" applyAlignment="1">
      <alignment horizontal="center" vertical="center"/>
    </xf>
    <xf numFmtId="165" fontId="2" fillId="3" borderId="1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1" fillId="0" borderId="6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11" fillId="0" borderId="0" xfId="0" applyFont="1"/>
    <xf numFmtId="0" fontId="16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2" fillId="5" borderId="25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2" fontId="0" fillId="6" borderId="20" xfId="0" applyNumberForma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164" fontId="2" fillId="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49" fontId="15" fillId="0" borderId="2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A26" sqref="A26"/>
    </sheetView>
  </sheetViews>
  <sheetFormatPr defaultRowHeight="15"/>
  <cols>
    <col min="1" max="1" width="9.140625" style="1"/>
    <col min="2" max="2" width="19.5703125" style="1" customWidth="1"/>
    <col min="3" max="3" width="7.140625" style="1" customWidth="1"/>
    <col min="4" max="4" width="11.5703125" style="1" customWidth="1"/>
    <col min="5" max="5" width="7" style="1" customWidth="1"/>
    <col min="6" max="6" width="10.42578125" style="1" customWidth="1"/>
    <col min="7" max="7" width="17" style="1" customWidth="1"/>
    <col min="8" max="8" width="14.7109375" style="1" customWidth="1"/>
    <col min="9" max="9" width="11.140625" style="1" customWidth="1"/>
    <col min="10" max="10" width="9" style="1" customWidth="1"/>
  </cols>
  <sheetData>
    <row r="1" spans="1:10" ht="19.5">
      <c r="A1" s="115" t="s">
        <v>86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7.25">
      <c r="A2" s="116" t="s">
        <v>150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6" customHeight="1" thickBot="1"/>
    <row r="4" spans="1:10" s="2" customFormat="1" ht="15" customHeight="1">
      <c r="A4" s="117" t="s">
        <v>67</v>
      </c>
      <c r="B4" s="119" t="s">
        <v>5</v>
      </c>
      <c r="C4" s="121" t="s">
        <v>59</v>
      </c>
      <c r="D4" s="123" t="s">
        <v>41</v>
      </c>
      <c r="E4" s="124"/>
      <c r="F4" s="125" t="s">
        <v>60</v>
      </c>
      <c r="G4" s="126"/>
      <c r="H4" s="119"/>
      <c r="I4" s="123" t="s">
        <v>61</v>
      </c>
      <c r="J4" s="124"/>
    </row>
    <row r="5" spans="1:10" s="11" customFormat="1" ht="15.75" thickBot="1">
      <c r="A5" s="118"/>
      <c r="B5" s="120"/>
      <c r="C5" s="122"/>
      <c r="D5" s="50" t="s">
        <v>62</v>
      </c>
      <c r="E5" s="70" t="s">
        <v>42</v>
      </c>
      <c r="F5" s="51" t="s">
        <v>63</v>
      </c>
      <c r="G5" s="65" t="s">
        <v>64</v>
      </c>
      <c r="H5" s="65" t="s">
        <v>65</v>
      </c>
      <c r="I5" s="50" t="s">
        <v>62</v>
      </c>
      <c r="J5" s="70" t="s">
        <v>66</v>
      </c>
    </row>
    <row r="6" spans="1:10" s="2" customFormat="1" ht="24.95" customHeight="1">
      <c r="A6" s="66">
        <v>1</v>
      </c>
      <c r="B6" s="157" t="s">
        <v>117</v>
      </c>
      <c r="C6" s="64">
        <v>8</v>
      </c>
      <c r="D6" s="73">
        <v>40.034999999999997</v>
      </c>
      <c r="E6" s="75">
        <v>3</v>
      </c>
      <c r="F6" s="76">
        <v>174</v>
      </c>
      <c r="G6" s="77" t="s">
        <v>116</v>
      </c>
      <c r="H6" s="78" t="s">
        <v>71</v>
      </c>
      <c r="I6" s="79">
        <v>39.54</v>
      </c>
      <c r="J6" s="67">
        <v>128</v>
      </c>
    </row>
    <row r="7" spans="1:10" s="2" customFormat="1" ht="24.95" customHeight="1">
      <c r="A7" s="5">
        <v>2</v>
      </c>
      <c r="B7" s="158" t="s">
        <v>69</v>
      </c>
      <c r="C7" s="37">
        <v>9</v>
      </c>
      <c r="D7" s="55">
        <v>39.895000000000003</v>
      </c>
      <c r="E7" s="38">
        <v>2</v>
      </c>
      <c r="F7" s="39">
        <v>174</v>
      </c>
      <c r="G7" s="49">
        <v>8.91</v>
      </c>
      <c r="H7" s="54">
        <v>8.91</v>
      </c>
      <c r="I7" s="161">
        <v>39.159999999999997</v>
      </c>
      <c r="J7" s="69">
        <v>141</v>
      </c>
    </row>
    <row r="8" spans="1:10" s="2" customFormat="1" ht="24.95" customHeight="1">
      <c r="A8" s="5">
        <v>3</v>
      </c>
      <c r="B8" s="158" t="s">
        <v>12</v>
      </c>
      <c r="C8" s="37">
        <v>21</v>
      </c>
      <c r="D8" s="55">
        <v>40.200000000000003</v>
      </c>
      <c r="E8" s="38">
        <v>5</v>
      </c>
      <c r="F8" s="39">
        <v>173</v>
      </c>
      <c r="G8" s="49" t="s">
        <v>70</v>
      </c>
      <c r="H8" s="54">
        <v>33</v>
      </c>
      <c r="I8" s="39">
        <v>39.409999999999997</v>
      </c>
      <c r="J8" s="69">
        <v>164</v>
      </c>
    </row>
    <row r="9" spans="1:10" s="2" customFormat="1" ht="24.95" customHeight="1">
      <c r="A9" s="5">
        <v>4</v>
      </c>
      <c r="B9" s="158" t="s">
        <v>28</v>
      </c>
      <c r="C9" s="37">
        <v>33</v>
      </c>
      <c r="D9" s="56">
        <v>40.145000000000003</v>
      </c>
      <c r="E9" s="69">
        <v>4</v>
      </c>
      <c r="F9" s="36">
        <v>173</v>
      </c>
      <c r="G9" s="68" t="s">
        <v>70</v>
      </c>
      <c r="H9" s="54">
        <v>7</v>
      </c>
      <c r="I9" s="52">
        <v>39.74</v>
      </c>
      <c r="J9" s="69">
        <v>31</v>
      </c>
    </row>
    <row r="10" spans="1:10" s="2" customFormat="1" ht="24.95" customHeight="1">
      <c r="A10" s="5">
        <v>5</v>
      </c>
      <c r="B10" s="158" t="s">
        <v>83</v>
      </c>
      <c r="C10" s="37">
        <v>7</v>
      </c>
      <c r="D10" s="55">
        <v>40.4</v>
      </c>
      <c r="E10" s="38">
        <v>7</v>
      </c>
      <c r="F10" s="39">
        <v>173</v>
      </c>
      <c r="G10" s="49" t="s">
        <v>70</v>
      </c>
      <c r="H10" s="54">
        <v>16</v>
      </c>
      <c r="I10" s="53">
        <v>39.630000000000003</v>
      </c>
      <c r="J10" s="69">
        <v>136</v>
      </c>
    </row>
    <row r="11" spans="1:10" s="2" customFormat="1" ht="24.95" customHeight="1">
      <c r="A11" s="5">
        <v>6</v>
      </c>
      <c r="B11" s="158" t="s">
        <v>14</v>
      </c>
      <c r="C11" s="37">
        <v>6</v>
      </c>
      <c r="D11" s="55">
        <v>39.825000000000003</v>
      </c>
      <c r="E11" s="38">
        <v>1</v>
      </c>
      <c r="F11" s="36">
        <v>174</v>
      </c>
      <c r="G11" s="44" t="s">
        <v>70</v>
      </c>
      <c r="H11" s="54">
        <v>1</v>
      </c>
      <c r="I11" s="53">
        <v>39.22</v>
      </c>
      <c r="J11" s="69">
        <v>165</v>
      </c>
    </row>
    <row r="12" spans="1:10" s="2" customFormat="1" ht="24.95" customHeight="1">
      <c r="A12" s="5">
        <v>7</v>
      </c>
      <c r="B12" s="158" t="s">
        <v>84</v>
      </c>
      <c r="C12" s="37">
        <v>2</v>
      </c>
      <c r="D12" s="74">
        <v>40.325000000000003</v>
      </c>
      <c r="E12" s="69">
        <v>6</v>
      </c>
      <c r="F12" s="36">
        <v>172</v>
      </c>
      <c r="G12" s="17" t="s">
        <v>72</v>
      </c>
      <c r="H12" s="54" t="s">
        <v>151</v>
      </c>
      <c r="I12" s="80">
        <v>39.659999999999997</v>
      </c>
      <c r="J12" s="69">
        <v>130</v>
      </c>
    </row>
    <row r="13" spans="1:10" s="2" customFormat="1" ht="24.95" customHeight="1">
      <c r="A13" s="5">
        <v>8</v>
      </c>
      <c r="B13" s="158" t="s">
        <v>91</v>
      </c>
      <c r="C13" s="37">
        <v>4</v>
      </c>
      <c r="D13" s="55">
        <v>40.914999999999999</v>
      </c>
      <c r="E13" s="38">
        <v>9</v>
      </c>
      <c r="F13" s="36">
        <v>172</v>
      </c>
      <c r="G13" s="68" t="s">
        <v>72</v>
      </c>
      <c r="H13" s="69" t="s">
        <v>152</v>
      </c>
      <c r="I13" s="39">
        <v>39.9</v>
      </c>
      <c r="J13" s="69">
        <v>95</v>
      </c>
    </row>
    <row r="14" spans="1:10" s="2" customFormat="1" ht="24.95" customHeight="1" thickBot="1">
      <c r="A14" s="160">
        <v>9</v>
      </c>
      <c r="B14" s="159" t="s">
        <v>34</v>
      </c>
      <c r="C14" s="152">
        <v>5</v>
      </c>
      <c r="D14" s="153">
        <v>40.734999999999999</v>
      </c>
      <c r="E14" s="42">
        <v>8</v>
      </c>
      <c r="F14" s="154">
        <v>170</v>
      </c>
      <c r="G14" s="43" t="s">
        <v>73</v>
      </c>
      <c r="H14" s="155" t="s">
        <v>70</v>
      </c>
      <c r="I14" s="156">
        <v>40.08</v>
      </c>
      <c r="J14" s="42">
        <v>79</v>
      </c>
    </row>
    <row r="15" spans="1:10">
      <c r="A15" s="40"/>
    </row>
    <row r="16" spans="1:10">
      <c r="A16" s="40"/>
    </row>
    <row r="17" spans="1:1" ht="5.25" customHeight="1">
      <c r="A17" s="40"/>
    </row>
    <row r="18" spans="1:1" s="1" customFormat="1">
      <c r="A18" s="40"/>
    </row>
    <row r="19" spans="1:1" s="1" customFormat="1">
      <c r="A19" s="40"/>
    </row>
    <row r="20" spans="1:1" s="1" customFormat="1">
      <c r="A20" s="40"/>
    </row>
    <row r="21" spans="1:1" s="1" customFormat="1" ht="6.75" customHeight="1">
      <c r="A21" s="40"/>
    </row>
    <row r="22" spans="1:1" s="1" customFormat="1">
      <c r="A22" s="40"/>
    </row>
    <row r="23" spans="1:1" s="1" customFormat="1">
      <c r="A23" s="41"/>
    </row>
    <row r="24" spans="1:1" s="1" customFormat="1">
      <c r="A24" s="41"/>
    </row>
    <row r="25" spans="1:1" s="1" customFormat="1" ht="6.75" customHeight="1">
      <c r="A25" s="41"/>
    </row>
    <row r="26" spans="1:1" s="1" customFormat="1">
      <c r="A26" s="41"/>
    </row>
    <row r="27" spans="1:1" s="1" customFormat="1">
      <c r="A27" s="41"/>
    </row>
    <row r="28" spans="1:1" s="1" customFormat="1">
      <c r="A28" s="41"/>
    </row>
    <row r="29" spans="1:1" s="1" customFormat="1">
      <c r="A29" s="41"/>
    </row>
    <row r="30" spans="1:1" s="1" customFormat="1" ht="7.5" customHeight="1">
      <c r="A30" s="40"/>
    </row>
    <row r="31" spans="1:1" s="1" customFormat="1">
      <c r="A31" s="40"/>
    </row>
    <row r="32" spans="1:1" s="1" customFormat="1">
      <c r="A32" s="40"/>
    </row>
    <row r="33" spans="1:1" s="1" customFormat="1">
      <c r="A33" s="40"/>
    </row>
    <row r="34" spans="1:1" s="1" customFormat="1" ht="6.75" customHeight="1"/>
    <row r="35" spans="1:1" s="1" customFormat="1">
      <c r="A35" s="40"/>
    </row>
    <row r="36" spans="1:1" s="1" customFormat="1">
      <c r="A36" s="40"/>
    </row>
  </sheetData>
  <sortState ref="A6:J14">
    <sortCondition ref="A6:A14"/>
  </sortState>
  <mergeCells count="8">
    <mergeCell ref="A1:J1"/>
    <mergeCell ref="A2:J2"/>
    <mergeCell ref="A4:A5"/>
    <mergeCell ref="B4:B5"/>
    <mergeCell ref="C4:C5"/>
    <mergeCell ref="D4:E4"/>
    <mergeCell ref="F4:H4"/>
    <mergeCell ref="I4:J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N22"/>
  <sheetViews>
    <sheetView zoomScale="75" zoomScaleNormal="75" workbookViewId="0">
      <selection activeCell="A4" sqref="A4:L4"/>
    </sheetView>
  </sheetViews>
  <sheetFormatPr defaultRowHeight="1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12.42578125" customWidth="1"/>
  </cols>
  <sheetData>
    <row r="4" spans="1:14" ht="18.75">
      <c r="A4" s="128" t="s">
        <v>161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4" ht="7.5" customHeight="1"/>
    <row r="6" spans="1:14" ht="17.25">
      <c r="A6" s="116" t="s">
        <v>102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4" ht="7.5" customHeight="1"/>
    <row r="8" spans="1:14" s="1" customFormat="1" ht="20.25" customHeight="1">
      <c r="A8" s="129" t="s">
        <v>4</v>
      </c>
      <c r="B8" s="130" t="s">
        <v>3</v>
      </c>
      <c r="C8" s="133" t="s">
        <v>11</v>
      </c>
      <c r="D8" s="130" t="s">
        <v>0</v>
      </c>
      <c r="E8" s="135" t="s">
        <v>49</v>
      </c>
      <c r="F8" s="137" t="s">
        <v>51</v>
      </c>
      <c r="G8" s="138"/>
      <c r="H8" s="138"/>
      <c r="I8" s="139"/>
      <c r="J8" s="131" t="s">
        <v>10</v>
      </c>
      <c r="K8" s="129" t="s">
        <v>87</v>
      </c>
      <c r="L8" s="129"/>
    </row>
    <row r="9" spans="1:14" s="1" customFormat="1" ht="27.75" customHeight="1">
      <c r="A9" s="129"/>
      <c r="B9" s="130"/>
      <c r="C9" s="134"/>
      <c r="D9" s="130"/>
      <c r="E9" s="136"/>
      <c r="F9" s="48" t="s">
        <v>44</v>
      </c>
      <c r="G9" s="48" t="s">
        <v>45</v>
      </c>
      <c r="H9" s="48" t="s">
        <v>48</v>
      </c>
      <c r="I9" s="47" t="s">
        <v>46</v>
      </c>
      <c r="J9" s="132"/>
      <c r="K9" s="46" t="s">
        <v>2</v>
      </c>
      <c r="L9" s="46" t="s">
        <v>1</v>
      </c>
      <c r="M9" s="14" t="s">
        <v>47</v>
      </c>
      <c r="N9" s="14" t="s">
        <v>50</v>
      </c>
    </row>
    <row r="10" spans="1:14" s="2" customFormat="1" ht="30" customHeight="1">
      <c r="A10" s="45">
        <v>1</v>
      </c>
      <c r="B10" s="4" t="s">
        <v>85</v>
      </c>
      <c r="C10" s="3">
        <v>4</v>
      </c>
      <c r="D10" s="3">
        <v>31</v>
      </c>
      <c r="E10" s="23">
        <f>D10</f>
        <v>31</v>
      </c>
      <c r="F10" s="26">
        <v>40.89</v>
      </c>
      <c r="G10" s="30">
        <f>(41.4+41.55+42.02+41.93+41.74+41.39+41.46+41.07+41.48+41.46+43.32+41.63+41.3+41.26+41.37+41.16+42.13+41.22+41.68+41.09+41.4+41.62+41.55+41.46+41.17+41.42+40.89+41.09+41.04)/29</f>
        <v>41.493103448275861</v>
      </c>
      <c r="H10" s="26">
        <v>0</v>
      </c>
      <c r="I10" s="18">
        <f>G10-F10</f>
        <v>0.60310344827585993</v>
      </c>
      <c r="J10" s="12">
        <v>1.6030092592592592E-2</v>
      </c>
      <c r="K10" s="12">
        <f>J10</f>
        <v>1.6030092592592592E-2</v>
      </c>
      <c r="L10" s="13">
        <f>K10</f>
        <v>1.6030092592592592E-2</v>
      </c>
      <c r="M10" s="85" t="s">
        <v>124</v>
      </c>
      <c r="N10" s="86" t="s">
        <v>112</v>
      </c>
    </row>
    <row r="11" spans="1:14" s="2" customFormat="1" ht="30" customHeight="1" thickBot="1">
      <c r="A11" s="45">
        <v>2</v>
      </c>
      <c r="B11" s="4" t="s">
        <v>110</v>
      </c>
      <c r="C11" s="3">
        <v>10</v>
      </c>
      <c r="D11" s="3">
        <v>62</v>
      </c>
      <c r="E11" s="23">
        <v>31</v>
      </c>
      <c r="F11" s="99">
        <v>40.15</v>
      </c>
      <c r="G11" s="71">
        <f>(41.33+40.67+41.38+40.96+40.88+40.65+41.88+40.58+40.44+40.52+40.5+40.15+40.7+40.55+40.37+40.18+41.15+40.48+40.41+40.23+40.45+40.53+40.54+40.44+40.9+40.47+42.37+41+40.38+41.62)/30</f>
        <v>40.756999999999984</v>
      </c>
      <c r="H11" s="26">
        <v>2</v>
      </c>
      <c r="I11" s="18">
        <f>G11-F11</f>
        <v>0.60699999999998511</v>
      </c>
      <c r="J11" s="12">
        <v>3.1736111111111111E-2</v>
      </c>
      <c r="K11" s="12">
        <f>J11-J10</f>
        <v>1.5706018518518518E-2</v>
      </c>
      <c r="L11" s="13">
        <f>K11</f>
        <v>1.5706018518518518E-2</v>
      </c>
      <c r="M11" s="85" t="s">
        <v>125</v>
      </c>
      <c r="N11" s="86"/>
    </row>
    <row r="12" spans="1:14" s="2" customFormat="1" ht="30" customHeight="1" thickBot="1">
      <c r="A12" s="45">
        <v>3</v>
      </c>
      <c r="B12" s="4" t="s">
        <v>85</v>
      </c>
      <c r="C12" s="3">
        <v>7</v>
      </c>
      <c r="D12" s="3">
        <v>106</v>
      </c>
      <c r="E12" s="23">
        <f>D12-D11</f>
        <v>44</v>
      </c>
      <c r="F12" s="16">
        <v>39.9</v>
      </c>
      <c r="G12" s="31">
        <f>(41.41+40.97+40.65+41.51+40.71+40.9+40.69+40.46+40.74+40.92+40.43+41.16+40.58+41.08+40.65+41.04+41.43+40.45+40.57+41+40.75+40.5+40.92+41.07+40.4+40.53+41.55+41.31+40.41+40+40.27+40.17+39.9+40.42+40.79+41.06+40.56+40.6+40.63+43.19+40.66+41+42.27)/43</f>
        <v>40.844418604651175</v>
      </c>
      <c r="H12" s="26">
        <v>0</v>
      </c>
      <c r="I12" s="22">
        <f t="shared" ref="I12:I13" si="0">G12-F12</f>
        <v>0.944418604651176</v>
      </c>
      <c r="J12" s="12">
        <v>5.3622685185185183E-2</v>
      </c>
      <c r="K12" s="12">
        <f>J12-J11</f>
        <v>2.1886574074074072E-2</v>
      </c>
      <c r="L12" s="12">
        <f>K12+K10</f>
        <v>3.7916666666666668E-2</v>
      </c>
      <c r="M12" s="85" t="s">
        <v>126</v>
      </c>
      <c r="N12" s="86"/>
    </row>
    <row r="13" spans="1:14" s="2" customFormat="1" ht="30" customHeight="1" thickBot="1">
      <c r="A13" s="57" t="s">
        <v>9</v>
      </c>
      <c r="B13" s="6" t="s">
        <v>110</v>
      </c>
      <c r="C13" s="58">
        <v>5</v>
      </c>
      <c r="D13" s="58">
        <v>170</v>
      </c>
      <c r="E13" s="23">
        <f>D13-D12</f>
        <v>64</v>
      </c>
      <c r="F13" s="24">
        <v>40.06</v>
      </c>
      <c r="G13" s="31">
        <f>(42+41.06+40.76+40.63+40.7+40.86+41.74+40.52+40.58+40.73+40.55+40.53+40.68+40.32+41.06+40.35+40.5+40.34+40.18+40.42+41.07+40.5+41.39+40.64+40.39+40.92+40.67+40.38+40.76+40.47+40.56+40.29+40.48+40.59+40.75+40.68+41.29+40.57+40.6+40.15+40.48+40.06+40.41+40.4+40.77+41.38+40.64+41.64+40.83+40.01+40.54+40.7+40.76+40.99+40.5+40.59+40.41+41.68+41.15+40.56+40.85+40.15+40.48+40.93)/64</f>
        <v>40.696406250000003</v>
      </c>
      <c r="H13" s="26">
        <v>2</v>
      </c>
      <c r="I13" s="34">
        <f t="shared" si="0"/>
        <v>0.63640625000000028</v>
      </c>
      <c r="J13" s="29">
        <v>8.3634259259259255E-2</v>
      </c>
      <c r="K13" s="29">
        <f>J13-J12</f>
        <v>3.0011574074074072E-2</v>
      </c>
      <c r="L13" s="29">
        <f>K13+K11</f>
        <v>4.5717592592592587E-2</v>
      </c>
      <c r="M13" s="85"/>
      <c r="N13" s="86"/>
    </row>
    <row r="14" spans="1:14" s="2" customFormat="1" ht="30" customHeight="1">
      <c r="A14" s="19"/>
      <c r="B14" s="20"/>
      <c r="C14" s="21"/>
      <c r="D14" s="21"/>
      <c r="E14" s="21"/>
      <c r="F14" s="88">
        <f>AVERAGE(F10,F11)</f>
        <v>40.519999999999996</v>
      </c>
      <c r="G14" s="89">
        <f>AVERAGE(G10,G12)</f>
        <v>41.168761026463514</v>
      </c>
      <c r="H14" s="89" t="s">
        <v>146</v>
      </c>
      <c r="I14" s="90">
        <f>AVERAGE(I10,I11)</f>
        <v>0.60505172413792252</v>
      </c>
      <c r="J14" s="21"/>
      <c r="K14" s="21"/>
      <c r="L14" s="21"/>
      <c r="M14" s="91"/>
      <c r="N14" s="91"/>
    </row>
    <row r="15" spans="1:14" ht="27.75" customHeight="1">
      <c r="A15" s="25"/>
      <c r="B15" s="92"/>
      <c r="C15" s="92"/>
      <c r="D15" s="93"/>
      <c r="E15" s="94"/>
      <c r="F15" s="95">
        <f>AVERAGE(F12,F13)</f>
        <v>39.980000000000004</v>
      </c>
      <c r="G15" s="96">
        <f>AVERAGE(G11,G13)</f>
        <v>40.726703124999993</v>
      </c>
      <c r="H15" s="96" t="s">
        <v>68</v>
      </c>
      <c r="I15" s="97">
        <f>AVERAGE(I12,I13)</f>
        <v>0.79041242732558814</v>
      </c>
      <c r="J15" s="94"/>
      <c r="K15" s="94"/>
      <c r="L15" s="94"/>
      <c r="M15" s="91"/>
      <c r="N15" s="91"/>
    </row>
    <row r="16" spans="1:14" ht="30" customHeight="1" thickBot="1">
      <c r="B16" s="98"/>
      <c r="C16" s="98"/>
      <c r="D16" s="94"/>
      <c r="E16" s="94"/>
      <c r="F16" s="59">
        <f>AVERAGE(F10:F13)</f>
        <v>40.25</v>
      </c>
      <c r="G16" s="60">
        <f>AVERAGE(G10:G13)</f>
        <v>40.94773207573175</v>
      </c>
      <c r="H16" s="61"/>
      <c r="I16" s="62">
        <f>AVERAGE(I10:I13)</f>
        <v>0.69773207573175533</v>
      </c>
      <c r="J16" s="94"/>
      <c r="K16" s="94"/>
      <c r="L16" s="94"/>
      <c r="M16" s="98"/>
      <c r="N16" s="98"/>
    </row>
    <row r="17" spans="2:14" ht="15.75">
      <c r="B17" s="98"/>
      <c r="C17" s="98"/>
      <c r="D17" s="94"/>
      <c r="E17" s="94"/>
      <c r="F17" s="94"/>
      <c r="G17" s="94"/>
      <c r="H17" s="94"/>
      <c r="I17" s="94"/>
      <c r="J17" s="94"/>
      <c r="K17" s="94"/>
      <c r="L17" s="94"/>
      <c r="M17" s="98"/>
      <c r="N17" s="98"/>
    </row>
    <row r="18" spans="2:14" ht="15.75">
      <c r="B18" s="98"/>
      <c r="C18" s="98"/>
      <c r="D18" s="94"/>
      <c r="E18" s="94"/>
      <c r="F18" s="94"/>
      <c r="G18" s="94"/>
      <c r="H18" s="94"/>
      <c r="I18" s="94"/>
      <c r="J18" s="94"/>
      <c r="K18" s="94"/>
      <c r="L18" s="94"/>
      <c r="M18" s="98"/>
      <c r="N18" s="98"/>
    </row>
    <row r="19" spans="2:14">
      <c r="M19" s="1"/>
      <c r="N19" s="1"/>
    </row>
    <row r="20" spans="2:14">
      <c r="M20" s="2"/>
      <c r="N20" s="2"/>
    </row>
    <row r="21" spans="2:14">
      <c r="M21" s="2"/>
      <c r="N21" s="2"/>
    </row>
    <row r="22" spans="2:14">
      <c r="M22" s="2"/>
      <c r="N22" s="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N22"/>
  <sheetViews>
    <sheetView zoomScale="75" zoomScaleNormal="75" workbookViewId="0">
      <selection activeCell="A4" sqref="A4:L4"/>
    </sheetView>
  </sheetViews>
  <sheetFormatPr defaultRowHeight="1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12.42578125" customWidth="1"/>
  </cols>
  <sheetData>
    <row r="4" spans="1:14" ht="18.75">
      <c r="A4" s="128" t="s">
        <v>161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4" ht="7.5" customHeight="1"/>
    <row r="6" spans="1:14" ht="17.25">
      <c r="A6" s="116" t="s">
        <v>103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4" ht="7.5" customHeight="1"/>
    <row r="8" spans="1:14" s="1" customFormat="1" ht="20.25" customHeight="1">
      <c r="A8" s="129" t="s">
        <v>4</v>
      </c>
      <c r="B8" s="130" t="s">
        <v>3</v>
      </c>
      <c r="C8" s="133" t="s">
        <v>11</v>
      </c>
      <c r="D8" s="130" t="s">
        <v>0</v>
      </c>
      <c r="E8" s="135" t="s">
        <v>49</v>
      </c>
      <c r="F8" s="137" t="s">
        <v>51</v>
      </c>
      <c r="G8" s="138"/>
      <c r="H8" s="138"/>
      <c r="I8" s="139"/>
      <c r="J8" s="131" t="s">
        <v>10</v>
      </c>
      <c r="K8" s="129" t="s">
        <v>87</v>
      </c>
      <c r="L8" s="129"/>
    </row>
    <row r="9" spans="1:14" s="1" customFormat="1" ht="27.75" customHeight="1">
      <c r="A9" s="129"/>
      <c r="B9" s="130"/>
      <c r="C9" s="134"/>
      <c r="D9" s="130"/>
      <c r="E9" s="136"/>
      <c r="F9" s="48" t="s">
        <v>44</v>
      </c>
      <c r="G9" s="48" t="s">
        <v>45</v>
      </c>
      <c r="H9" s="48" t="s">
        <v>48</v>
      </c>
      <c r="I9" s="47" t="s">
        <v>46</v>
      </c>
      <c r="J9" s="132"/>
      <c r="K9" s="46" t="s">
        <v>2</v>
      </c>
      <c r="L9" s="46" t="s">
        <v>1</v>
      </c>
      <c r="M9" s="14" t="s">
        <v>47</v>
      </c>
      <c r="N9" s="14" t="s">
        <v>50</v>
      </c>
    </row>
    <row r="10" spans="1:14" s="2" customFormat="1" ht="30" customHeight="1">
      <c r="A10" s="45">
        <v>1</v>
      </c>
      <c r="B10" s="4" t="s">
        <v>35</v>
      </c>
      <c r="C10" s="3">
        <v>5</v>
      </c>
      <c r="D10" s="3">
        <v>36</v>
      </c>
      <c r="E10" s="23">
        <f>D10</f>
        <v>36</v>
      </c>
      <c r="F10" s="26">
        <v>40.68</v>
      </c>
      <c r="G10" s="30">
        <f>(41.7+41.99+41.94+41.54+43.69+43.77+42.26+41.3+41.15+41.19+41.02+41.76+42.19+41.11+41.36+41.82+41.04+41.52+41.87+41.36+41.79+41.48+41.42+42.81+41.31+41.81+40.88+41.2+41.06+40.68+41.07+43.05+41.07+41.1)/34</f>
        <v>41.656176470588228</v>
      </c>
      <c r="H10" s="26">
        <v>0</v>
      </c>
      <c r="I10" s="15">
        <f>G10-F10</f>
        <v>0.97617647058822854</v>
      </c>
      <c r="J10" s="72">
        <v>1.8437499999999999E-2</v>
      </c>
      <c r="K10" s="12">
        <f>J10</f>
        <v>1.8437499999999999E-2</v>
      </c>
      <c r="L10" s="13">
        <f>K10</f>
        <v>1.8437499999999999E-2</v>
      </c>
      <c r="M10" s="85" t="s">
        <v>128</v>
      </c>
      <c r="N10" s="86"/>
    </row>
    <row r="11" spans="1:14" s="2" customFormat="1" ht="30" customHeight="1" thickBot="1">
      <c r="A11" s="45">
        <v>2</v>
      </c>
      <c r="B11" s="4" t="s">
        <v>99</v>
      </c>
      <c r="C11" s="3">
        <v>2</v>
      </c>
      <c r="D11" s="3">
        <v>73</v>
      </c>
      <c r="E11" s="23">
        <f>D11-D10</f>
        <v>37</v>
      </c>
      <c r="F11" s="99">
        <v>40.81</v>
      </c>
      <c r="G11" s="71">
        <f>(43.63+41.5+41.8+41.56+41.44+41.59+41.52+41.19+40.95+40.91+41.76+40.93+41.55+40.91+40.81+41.31+41.91+41.69+41.13+41.36+41.16+41.98+41.02+41.77+40.9+40.95+41.36+41.3+41.15+41.25+42.1+41.25+41+40.84+41.12+41.5)/36</f>
        <v>41.391666666666652</v>
      </c>
      <c r="H11" s="26">
        <v>2</v>
      </c>
      <c r="I11" s="22">
        <f t="shared" ref="I11:I13" si="0">G11-F11</f>
        <v>0.58166666666664923</v>
      </c>
      <c r="J11" s="12">
        <v>3.7256944444444447E-2</v>
      </c>
      <c r="K11" s="12">
        <f>J11-J10</f>
        <v>1.8819444444444448E-2</v>
      </c>
      <c r="L11" s="13">
        <f>K11</f>
        <v>1.8819444444444448E-2</v>
      </c>
      <c r="M11" s="85" t="s">
        <v>127</v>
      </c>
      <c r="N11" s="86"/>
    </row>
    <row r="12" spans="1:14" s="2" customFormat="1" ht="30" customHeight="1" thickBot="1">
      <c r="A12" s="45">
        <v>3</v>
      </c>
      <c r="B12" s="4" t="s">
        <v>35</v>
      </c>
      <c r="C12" s="3">
        <v>6</v>
      </c>
      <c r="D12" s="3">
        <v>128</v>
      </c>
      <c r="E12" s="23">
        <f>D12-D11</f>
        <v>55</v>
      </c>
      <c r="F12" s="100">
        <v>40.08</v>
      </c>
      <c r="G12" s="31">
        <f>(41.89+40.82+41.22+41.74+40.33+40.08+40.89+40.68+40.67+40.77+40.3+42.31+40.56+40.64+41.16+40.47+40.61+40.62+41.22+40.82+41.84+40.69+40.55+40.68+40.23+42.75+42.99+40.72+40.6+40.75+40.69+40.59+40.58+41.02+40.44+41.1+40.9+42.87+41.01+41.74+40.62+40.72+40.78+40.5+40.65+40.89+41.07+40.92+41.22+40.87+40.58+41.17+40.66+42.38)/54</f>
        <v>40.992037037037029</v>
      </c>
      <c r="H12" s="26">
        <v>0</v>
      </c>
      <c r="I12" s="18">
        <f t="shared" si="0"/>
        <v>0.91203703703703098</v>
      </c>
      <c r="J12" s="12">
        <v>6.446759259259259E-2</v>
      </c>
      <c r="K12" s="12">
        <f>J12-J11</f>
        <v>2.7210648148148144E-2</v>
      </c>
      <c r="L12" s="12">
        <f>K12+K10</f>
        <v>4.5648148148148146E-2</v>
      </c>
      <c r="M12" s="85" t="s">
        <v>129</v>
      </c>
      <c r="N12" s="86"/>
    </row>
    <row r="13" spans="1:14" s="2" customFormat="1" ht="30" customHeight="1" thickBot="1">
      <c r="A13" s="57" t="s">
        <v>9</v>
      </c>
      <c r="B13" s="6" t="s">
        <v>99</v>
      </c>
      <c r="C13" s="58">
        <v>9</v>
      </c>
      <c r="D13" s="58">
        <v>169</v>
      </c>
      <c r="E13" s="23">
        <f>D13-D12</f>
        <v>41</v>
      </c>
      <c r="F13" s="32">
        <v>40.28</v>
      </c>
      <c r="G13" s="33">
        <f>(44.08+40.9+40.74+40.51+40.3+40.75+40.46+40.43+40.69+40.6+40.57+40.81+40.86+40.97+40.65+40.75+40.61+41.57+40.39+40.87+41.99+40.46+41.74+40.41+40.41+40.28+40.38+40.44+40.44+40.31+40.65+40.9+41.01+40.45+40.76+40.42+40.69+40.62+40.5+40.53+40.57)/41</f>
        <v>40.767560975609761</v>
      </c>
      <c r="H13" s="28">
        <v>3</v>
      </c>
      <c r="I13" s="82">
        <f t="shared" si="0"/>
        <v>0.48756097560976031</v>
      </c>
      <c r="J13" s="29">
        <v>8.3634259259259255E-2</v>
      </c>
      <c r="K13" s="29">
        <f>J13-J12</f>
        <v>1.9166666666666665E-2</v>
      </c>
      <c r="L13" s="29">
        <f>K13+K11</f>
        <v>3.7986111111111109E-2</v>
      </c>
      <c r="M13" s="85"/>
      <c r="N13" s="86"/>
    </row>
    <row r="14" spans="1:14" s="2" customFormat="1" ht="30" customHeight="1">
      <c r="A14" s="19"/>
      <c r="B14" s="20"/>
      <c r="C14" s="21"/>
      <c r="D14" s="21"/>
      <c r="E14" s="21"/>
      <c r="F14" s="107">
        <f>AVERAGE(F10,F11)</f>
        <v>40.745000000000005</v>
      </c>
      <c r="G14" s="108">
        <f>AVERAGE(G10,G12)</f>
        <v>41.324106753812629</v>
      </c>
      <c r="H14" s="108" t="s">
        <v>147</v>
      </c>
      <c r="I14" s="90">
        <f>AVERAGE(I10,I11)</f>
        <v>0.77892156862743889</v>
      </c>
      <c r="J14" s="21"/>
      <c r="K14" s="21"/>
      <c r="L14" s="21"/>
      <c r="M14" s="91"/>
      <c r="N14" s="91"/>
    </row>
    <row r="15" spans="1:14" ht="27.75" customHeight="1">
      <c r="A15" s="25"/>
      <c r="B15" s="92"/>
      <c r="C15" s="92"/>
      <c r="D15" s="93"/>
      <c r="E15" s="94"/>
      <c r="F15" s="95">
        <f>AVERAGE(F12,F13)</f>
        <v>40.18</v>
      </c>
      <c r="G15" s="96">
        <f>AVERAGE(G11,G13)</f>
        <v>41.07961382113821</v>
      </c>
      <c r="H15" s="96" t="s">
        <v>55</v>
      </c>
      <c r="I15" s="97">
        <f>AVERAGE(I12,I13)</f>
        <v>0.69979900632339564</v>
      </c>
      <c r="J15" s="94"/>
      <c r="K15" s="94"/>
      <c r="L15" s="94"/>
      <c r="M15" s="91"/>
      <c r="N15" s="91"/>
    </row>
    <row r="16" spans="1:14" ht="30" customHeight="1" thickBot="1">
      <c r="B16" s="98"/>
      <c r="C16" s="98"/>
      <c r="D16" s="94"/>
      <c r="E16" s="94"/>
      <c r="F16" s="59">
        <f>AVERAGE(F10:F13)</f>
        <v>40.462500000000006</v>
      </c>
      <c r="G16" s="60">
        <f>AVERAGE(G10:G13)</f>
        <v>41.201860287475419</v>
      </c>
      <c r="H16" s="61"/>
      <c r="I16" s="62">
        <f>AVERAGE(I10:I13)</f>
        <v>0.73936028747541727</v>
      </c>
      <c r="J16" s="94"/>
      <c r="K16" s="94"/>
      <c r="L16" s="94"/>
      <c r="M16" s="98"/>
      <c r="N16" s="98"/>
    </row>
    <row r="17" spans="2:14" ht="15.75">
      <c r="B17" s="98"/>
      <c r="C17" s="98"/>
      <c r="D17" s="94"/>
      <c r="E17" s="94"/>
      <c r="F17" s="94"/>
      <c r="G17" s="94"/>
      <c r="H17" s="94"/>
      <c r="I17" s="94"/>
      <c r="J17" s="94"/>
      <c r="K17" s="94"/>
      <c r="L17" s="94"/>
      <c r="M17" s="98"/>
      <c r="N17" s="98"/>
    </row>
    <row r="18" spans="2:14" ht="15.75">
      <c r="B18" s="98"/>
      <c r="C18" s="98"/>
      <c r="D18" s="94"/>
      <c r="E18" s="94"/>
      <c r="F18" s="94"/>
      <c r="G18" s="94"/>
      <c r="H18" s="94"/>
      <c r="I18" s="94"/>
      <c r="J18" s="94"/>
      <c r="K18" s="94"/>
      <c r="L18" s="94"/>
      <c r="M18" s="98"/>
      <c r="N18" s="98"/>
    </row>
    <row r="19" spans="2:14">
      <c r="M19" s="1"/>
      <c r="N19" s="1"/>
    </row>
    <row r="20" spans="2:14">
      <c r="M20" s="2"/>
      <c r="N20" s="2"/>
    </row>
    <row r="21" spans="2:14">
      <c r="M21" s="2"/>
      <c r="N21" s="2"/>
    </row>
    <row r="22" spans="2:14">
      <c r="M22" s="2"/>
      <c r="N22" s="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="60" zoomScaleNormal="60" workbookViewId="0">
      <selection activeCell="V9" sqref="V9"/>
    </sheetView>
  </sheetViews>
  <sheetFormatPr defaultRowHeight="15"/>
  <cols>
    <col min="2" max="2" width="35.42578125" customWidth="1"/>
    <col min="3" max="3" width="30.28515625" customWidth="1"/>
    <col min="4" max="4" width="8.42578125" customWidth="1"/>
    <col min="5" max="5" width="11.28515625" customWidth="1"/>
    <col min="6" max="6" width="9.85546875" style="1" customWidth="1"/>
    <col min="7" max="7" width="11.28515625" customWidth="1"/>
    <col min="8" max="8" width="10.5703125" customWidth="1"/>
  </cols>
  <sheetData>
    <row r="1" spans="1:13" ht="48" customHeight="1">
      <c r="A1" s="164" t="s">
        <v>159</v>
      </c>
      <c r="B1" s="164"/>
      <c r="C1" s="164"/>
      <c r="D1" s="164"/>
      <c r="E1" s="164"/>
      <c r="F1" s="164"/>
      <c r="G1" s="164"/>
      <c r="H1" s="164"/>
      <c r="I1" s="164"/>
    </row>
    <row r="2" spans="1:13" ht="5.25" customHeight="1"/>
    <row r="3" spans="1:13" ht="19.5" customHeight="1">
      <c r="A3" s="127" t="s">
        <v>8</v>
      </c>
      <c r="B3" s="127"/>
      <c r="C3" s="127"/>
      <c r="D3" s="127"/>
      <c r="E3" s="127"/>
      <c r="F3" s="127"/>
      <c r="G3" s="127"/>
      <c r="H3" s="127"/>
      <c r="I3" s="127"/>
    </row>
    <row r="4" spans="1:13" ht="15.75" customHeight="1" thickBot="1">
      <c r="A4" s="10"/>
      <c r="B4" s="10"/>
      <c r="C4" s="10"/>
      <c r="D4" s="10"/>
      <c r="E4" s="10"/>
      <c r="F4" s="10"/>
      <c r="G4" s="10"/>
    </row>
    <row r="5" spans="1:13" s="1" customFormat="1" ht="30" customHeight="1">
      <c r="A5" s="168" t="s">
        <v>59</v>
      </c>
      <c r="B5" s="181" t="s">
        <v>5</v>
      </c>
      <c r="C5" s="176" t="s">
        <v>3</v>
      </c>
      <c r="D5" s="169" t="s">
        <v>6</v>
      </c>
      <c r="E5" s="170" t="s">
        <v>7</v>
      </c>
      <c r="F5" s="170" t="s">
        <v>154</v>
      </c>
      <c r="G5" s="174" t="s">
        <v>160</v>
      </c>
      <c r="H5" s="169"/>
      <c r="I5" s="175"/>
    </row>
    <row r="6" spans="1:13" s="1" customFormat="1" ht="30" customHeight="1" thickBot="1">
      <c r="A6" s="171"/>
      <c r="B6" s="182"/>
      <c r="C6" s="177"/>
      <c r="D6" s="172"/>
      <c r="E6" s="173"/>
      <c r="F6" s="173"/>
      <c r="G6" s="165" t="s">
        <v>3</v>
      </c>
      <c r="H6" s="166" t="s">
        <v>43</v>
      </c>
      <c r="I6" s="167" t="s">
        <v>42</v>
      </c>
    </row>
    <row r="7" spans="1:13" s="2" customFormat="1" ht="30" customHeight="1">
      <c r="A7" s="214">
        <v>1</v>
      </c>
      <c r="B7" s="187" t="s">
        <v>84</v>
      </c>
      <c r="C7" s="188" t="s">
        <v>88</v>
      </c>
      <c r="D7" s="190" t="s">
        <v>22</v>
      </c>
      <c r="E7" s="191">
        <v>80</v>
      </c>
      <c r="F7" s="192"/>
      <c r="G7" s="193">
        <v>40.49</v>
      </c>
      <c r="H7" s="194">
        <f>AVERAGE(G7:G8)</f>
        <v>40.325000000000003</v>
      </c>
      <c r="I7" s="195">
        <v>6</v>
      </c>
    </row>
    <row r="8" spans="1:13" s="2" customFormat="1" ht="30" customHeight="1">
      <c r="A8" s="215"/>
      <c r="B8" s="184"/>
      <c r="C8" s="179" t="s">
        <v>26</v>
      </c>
      <c r="D8" s="196" t="s">
        <v>23</v>
      </c>
      <c r="E8" s="197">
        <v>87</v>
      </c>
      <c r="F8" s="197" t="s">
        <v>155</v>
      </c>
      <c r="G8" s="198">
        <f>40.26-0.1</f>
        <v>40.159999999999997</v>
      </c>
      <c r="H8" s="199"/>
      <c r="I8" s="200"/>
    </row>
    <row r="9" spans="1:13" s="2" customFormat="1" ht="30" customHeight="1">
      <c r="A9" s="216">
        <v>2</v>
      </c>
      <c r="B9" s="183" t="s">
        <v>91</v>
      </c>
      <c r="C9" s="178" t="s">
        <v>92</v>
      </c>
      <c r="D9" s="201" t="s">
        <v>36</v>
      </c>
      <c r="E9" s="202">
        <v>74</v>
      </c>
      <c r="F9" s="197"/>
      <c r="G9" s="198">
        <v>41.31</v>
      </c>
      <c r="H9" s="199">
        <f t="shared" ref="H9" si="0">AVERAGE(G9:G10)</f>
        <v>40.915000000000006</v>
      </c>
      <c r="I9" s="200">
        <v>9</v>
      </c>
    </row>
    <row r="10" spans="1:13" s="2" customFormat="1" ht="30" customHeight="1">
      <c r="A10" s="215"/>
      <c r="B10" s="184"/>
      <c r="C10" s="179" t="s">
        <v>93</v>
      </c>
      <c r="D10" s="196" t="s">
        <v>37</v>
      </c>
      <c r="E10" s="197">
        <v>76</v>
      </c>
      <c r="F10" s="197"/>
      <c r="G10" s="198">
        <v>40.520000000000003</v>
      </c>
      <c r="H10" s="199"/>
      <c r="I10" s="200"/>
    </row>
    <row r="11" spans="1:13" s="2" customFormat="1" ht="30" customHeight="1">
      <c r="A11" s="215">
        <v>3</v>
      </c>
      <c r="B11" s="184" t="s">
        <v>34</v>
      </c>
      <c r="C11" s="179" t="s">
        <v>35</v>
      </c>
      <c r="D11" s="196" t="s">
        <v>16</v>
      </c>
      <c r="E11" s="197">
        <v>64</v>
      </c>
      <c r="F11" s="197"/>
      <c r="G11" s="198">
        <v>40.89</v>
      </c>
      <c r="H11" s="199">
        <f t="shared" ref="H11" si="1">AVERAGE(G11:G12)</f>
        <v>40.734999999999999</v>
      </c>
      <c r="I11" s="200">
        <v>8</v>
      </c>
    </row>
    <row r="12" spans="1:13" s="2" customFormat="1" ht="30" customHeight="1">
      <c r="A12" s="215"/>
      <c r="B12" s="184"/>
      <c r="C12" s="179" t="s">
        <v>99</v>
      </c>
      <c r="D12" s="196" t="s">
        <v>17</v>
      </c>
      <c r="E12" s="197">
        <v>82</v>
      </c>
      <c r="F12" s="197"/>
      <c r="G12" s="198">
        <v>40.58</v>
      </c>
      <c r="H12" s="199"/>
      <c r="I12" s="200"/>
      <c r="M12" s="2" t="s">
        <v>100</v>
      </c>
    </row>
    <row r="13" spans="1:13" s="2" customFormat="1" ht="30" customHeight="1">
      <c r="A13" s="216">
        <v>4</v>
      </c>
      <c r="B13" s="183" t="s">
        <v>14</v>
      </c>
      <c r="C13" s="178" t="s">
        <v>74</v>
      </c>
      <c r="D13" s="201" t="s">
        <v>29</v>
      </c>
      <c r="E13" s="202">
        <v>75</v>
      </c>
      <c r="F13" s="197"/>
      <c r="G13" s="198">
        <v>39.74</v>
      </c>
      <c r="H13" s="199">
        <f t="shared" ref="H13" si="2">AVERAGE(G13:G14)</f>
        <v>39.825000000000003</v>
      </c>
      <c r="I13" s="200">
        <v>1</v>
      </c>
      <c r="K13" s="2" t="s">
        <v>100</v>
      </c>
    </row>
    <row r="14" spans="1:13" s="2" customFormat="1" ht="30" customHeight="1">
      <c r="A14" s="215"/>
      <c r="B14" s="184"/>
      <c r="C14" s="179" t="s">
        <v>20</v>
      </c>
      <c r="D14" s="196" t="s">
        <v>31</v>
      </c>
      <c r="E14" s="197">
        <v>84</v>
      </c>
      <c r="F14" s="197" t="s">
        <v>156</v>
      </c>
      <c r="G14" s="198">
        <f>39.96-0.05</f>
        <v>39.910000000000004</v>
      </c>
      <c r="H14" s="199"/>
      <c r="I14" s="200"/>
      <c r="M14" s="2" t="s">
        <v>100</v>
      </c>
    </row>
    <row r="15" spans="1:13" s="2" customFormat="1" ht="30" customHeight="1">
      <c r="A15" s="215">
        <v>5</v>
      </c>
      <c r="B15" s="184" t="s">
        <v>83</v>
      </c>
      <c r="C15" s="179" t="s">
        <v>38</v>
      </c>
      <c r="D15" s="196" t="s">
        <v>39</v>
      </c>
      <c r="E15" s="197">
        <v>83</v>
      </c>
      <c r="F15" s="197" t="s">
        <v>156</v>
      </c>
      <c r="G15" s="198">
        <f>40.16-0.05</f>
        <v>40.11</v>
      </c>
      <c r="H15" s="199">
        <f t="shared" ref="H15" si="3">AVERAGE(G15:G16)</f>
        <v>40.4</v>
      </c>
      <c r="I15" s="200">
        <v>7</v>
      </c>
    </row>
    <row r="16" spans="1:13" s="2" customFormat="1" ht="30" customHeight="1">
      <c r="A16" s="217"/>
      <c r="B16" s="185"/>
      <c r="C16" s="180" t="s">
        <v>21</v>
      </c>
      <c r="D16" s="203" t="s">
        <v>40</v>
      </c>
      <c r="E16" s="204">
        <v>70</v>
      </c>
      <c r="F16" s="197"/>
      <c r="G16" s="198">
        <v>40.69</v>
      </c>
      <c r="H16" s="199"/>
      <c r="I16" s="200"/>
    </row>
    <row r="17" spans="1:9" ht="27.75" customHeight="1">
      <c r="A17" s="215">
        <v>6</v>
      </c>
      <c r="B17" s="184" t="s">
        <v>81</v>
      </c>
      <c r="C17" s="179" t="s">
        <v>95</v>
      </c>
      <c r="D17" s="196" t="s">
        <v>76</v>
      </c>
      <c r="E17" s="196" t="s">
        <v>82</v>
      </c>
      <c r="F17" s="205"/>
      <c r="G17" s="206">
        <v>39.909999999999997</v>
      </c>
      <c r="H17" s="199">
        <f t="shared" ref="H17" si="4">AVERAGE(G17:G18)</f>
        <v>40.034999999999997</v>
      </c>
      <c r="I17" s="200">
        <v>3</v>
      </c>
    </row>
    <row r="18" spans="1:9" ht="27.75" customHeight="1">
      <c r="A18" s="215"/>
      <c r="B18" s="184"/>
      <c r="C18" s="179" t="s">
        <v>96</v>
      </c>
      <c r="D18" s="196" t="s">
        <v>79</v>
      </c>
      <c r="E18" s="196" t="s">
        <v>89</v>
      </c>
      <c r="F18" s="205" t="s">
        <v>157</v>
      </c>
      <c r="G18" s="206">
        <f>40.36-0.2</f>
        <v>40.159999999999997</v>
      </c>
      <c r="H18" s="199"/>
      <c r="I18" s="200"/>
    </row>
    <row r="19" spans="1:9" ht="29.25" customHeight="1">
      <c r="A19" s="216">
        <v>7</v>
      </c>
      <c r="B19" s="183" t="s">
        <v>69</v>
      </c>
      <c r="C19" s="178" t="s">
        <v>75</v>
      </c>
      <c r="D19" s="201" t="s">
        <v>18</v>
      </c>
      <c r="E19" s="201" t="s">
        <v>77</v>
      </c>
      <c r="F19" s="205"/>
      <c r="G19" s="206">
        <v>39.46</v>
      </c>
      <c r="H19" s="207">
        <f t="shared" ref="H19" si="5">AVERAGE(G19:G20)</f>
        <v>39.894999999999996</v>
      </c>
      <c r="I19" s="200">
        <v>2</v>
      </c>
    </row>
    <row r="20" spans="1:9" ht="29.25" customHeight="1">
      <c r="A20" s="215"/>
      <c r="B20" s="184"/>
      <c r="C20" s="179" t="s">
        <v>15</v>
      </c>
      <c r="D20" s="196" t="s">
        <v>19</v>
      </c>
      <c r="E20" s="196" t="s">
        <v>80</v>
      </c>
      <c r="F20" s="205" t="s">
        <v>155</v>
      </c>
      <c r="G20" s="206">
        <f>40.43-0.1</f>
        <v>40.33</v>
      </c>
      <c r="H20" s="207"/>
      <c r="I20" s="200"/>
    </row>
    <row r="21" spans="1:9" ht="29.25" customHeight="1">
      <c r="A21" s="215">
        <v>8</v>
      </c>
      <c r="B21" s="184" t="s">
        <v>12</v>
      </c>
      <c r="C21" s="179" t="s">
        <v>13</v>
      </c>
      <c r="D21" s="196" t="s">
        <v>25</v>
      </c>
      <c r="E21" s="196" t="s">
        <v>90</v>
      </c>
      <c r="F21" s="205"/>
      <c r="G21" s="206">
        <v>40.5</v>
      </c>
      <c r="H21" s="199">
        <f t="shared" ref="H21" si="6">AVERAGE(G21:G22)</f>
        <v>40.200000000000003</v>
      </c>
      <c r="I21" s="200">
        <v>5</v>
      </c>
    </row>
    <row r="22" spans="1:9" ht="29.25" customHeight="1">
      <c r="A22" s="215"/>
      <c r="B22" s="184"/>
      <c r="C22" s="179" t="s">
        <v>78</v>
      </c>
      <c r="D22" s="196" t="s">
        <v>27</v>
      </c>
      <c r="E22" s="196" t="s">
        <v>80</v>
      </c>
      <c r="F22" s="205" t="s">
        <v>155</v>
      </c>
      <c r="G22" s="206">
        <f>40-0.1</f>
        <v>39.9</v>
      </c>
      <c r="H22" s="199"/>
      <c r="I22" s="200"/>
    </row>
    <row r="23" spans="1:9" ht="29.25" customHeight="1">
      <c r="A23" s="216">
        <v>9</v>
      </c>
      <c r="B23" s="183" t="s">
        <v>28</v>
      </c>
      <c r="C23" s="178" t="s">
        <v>30</v>
      </c>
      <c r="D23" s="201" t="s">
        <v>32</v>
      </c>
      <c r="E23" s="201" t="s">
        <v>97</v>
      </c>
      <c r="F23" s="208" t="s">
        <v>158</v>
      </c>
      <c r="G23" s="206">
        <f>40.35-0.3</f>
        <v>40.050000000000004</v>
      </c>
      <c r="H23" s="199">
        <f t="shared" ref="H23" si="7">AVERAGE(G23:G24)</f>
        <v>40.144999999999996</v>
      </c>
      <c r="I23" s="200">
        <v>4</v>
      </c>
    </row>
    <row r="24" spans="1:9" ht="29.25" customHeight="1" thickBot="1">
      <c r="A24" s="218"/>
      <c r="B24" s="186"/>
      <c r="C24" s="189" t="s">
        <v>94</v>
      </c>
      <c r="D24" s="209" t="s">
        <v>33</v>
      </c>
      <c r="E24" s="209" t="s">
        <v>98</v>
      </c>
      <c r="F24" s="210"/>
      <c r="G24" s="211">
        <f>40.69-0.45</f>
        <v>40.239999999999995</v>
      </c>
      <c r="H24" s="212"/>
      <c r="I24" s="213"/>
    </row>
    <row r="25" spans="1:9">
      <c r="G25" s="1"/>
    </row>
  </sheetData>
  <mergeCells count="46">
    <mergeCell ref="A23:A24"/>
    <mergeCell ref="B23:B24"/>
    <mergeCell ref="H23:H24"/>
    <mergeCell ref="I23:I24"/>
    <mergeCell ref="F23:F24"/>
    <mergeCell ref="A19:A20"/>
    <mergeCell ref="B19:B20"/>
    <mergeCell ref="H19:H20"/>
    <mergeCell ref="I19:I20"/>
    <mergeCell ref="A21:A22"/>
    <mergeCell ref="B21:B22"/>
    <mergeCell ref="H21:H22"/>
    <mergeCell ref="I21:I22"/>
    <mergeCell ref="A15:A16"/>
    <mergeCell ref="B15:B16"/>
    <mergeCell ref="H15:H16"/>
    <mergeCell ref="I15:I16"/>
    <mergeCell ref="A17:A18"/>
    <mergeCell ref="B17:B18"/>
    <mergeCell ref="H17:H18"/>
    <mergeCell ref="I17:I18"/>
    <mergeCell ref="A11:A12"/>
    <mergeCell ref="B11:B12"/>
    <mergeCell ref="H11:H12"/>
    <mergeCell ref="I11:I12"/>
    <mergeCell ref="A13:A14"/>
    <mergeCell ref="B13:B14"/>
    <mergeCell ref="H13:H14"/>
    <mergeCell ref="I13:I14"/>
    <mergeCell ref="A7:A8"/>
    <mergeCell ref="B7:B8"/>
    <mergeCell ref="H7:H8"/>
    <mergeCell ref="I7:I8"/>
    <mergeCell ref="A9:A10"/>
    <mergeCell ref="B9:B10"/>
    <mergeCell ref="H9:H10"/>
    <mergeCell ref="I9:I10"/>
    <mergeCell ref="A5:A6"/>
    <mergeCell ref="B5:B6"/>
    <mergeCell ref="C5:C6"/>
    <mergeCell ref="D5:D6"/>
    <mergeCell ref="E5:E6"/>
    <mergeCell ref="F5:F6"/>
    <mergeCell ref="G5:I5"/>
    <mergeCell ref="A1:I1"/>
    <mergeCell ref="A3:I3"/>
  </mergeCells>
  <pageMargins left="0.31496062992125984" right="0.31496062992125984" top="0.15748031496062992" bottom="0.11811023622047245" header="0.31496062992125984" footer="0.31496062992125984"/>
  <pageSetup paperSize="9" scale="8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4:N22"/>
  <sheetViews>
    <sheetView zoomScale="75" zoomScaleNormal="75" workbookViewId="0">
      <selection activeCell="A4" sqref="A4:L4"/>
    </sheetView>
  </sheetViews>
  <sheetFormatPr defaultRowHeight="1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22.28515625" customWidth="1"/>
  </cols>
  <sheetData>
    <row r="4" spans="1:14" ht="18.75">
      <c r="A4" s="128" t="s">
        <v>161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4" ht="7.5" customHeight="1"/>
    <row r="6" spans="1:14" ht="17.25">
      <c r="A6" s="116" t="s">
        <v>106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4" ht="7.5" customHeight="1"/>
    <row r="8" spans="1:14" s="1" customFormat="1" ht="20.25" customHeight="1">
      <c r="A8" s="129" t="s">
        <v>4</v>
      </c>
      <c r="B8" s="130" t="s">
        <v>3</v>
      </c>
      <c r="C8" s="133" t="s">
        <v>11</v>
      </c>
      <c r="D8" s="130" t="s">
        <v>0</v>
      </c>
      <c r="E8" s="135" t="s">
        <v>49</v>
      </c>
      <c r="F8" s="137" t="s">
        <v>51</v>
      </c>
      <c r="G8" s="138"/>
      <c r="H8" s="138"/>
      <c r="I8" s="139"/>
      <c r="J8" s="131" t="s">
        <v>10</v>
      </c>
      <c r="K8" s="129" t="s">
        <v>87</v>
      </c>
      <c r="L8" s="129"/>
      <c r="M8" s="84"/>
      <c r="N8" s="84"/>
    </row>
    <row r="9" spans="1:14" s="1" customFormat="1" ht="27.75" customHeight="1" thickBot="1">
      <c r="A9" s="129"/>
      <c r="B9" s="130"/>
      <c r="C9" s="134"/>
      <c r="D9" s="130"/>
      <c r="E9" s="136"/>
      <c r="F9" s="112" t="s">
        <v>44</v>
      </c>
      <c r="G9" s="112" t="s">
        <v>45</v>
      </c>
      <c r="H9" s="112" t="s">
        <v>48</v>
      </c>
      <c r="I9" s="83" t="s">
        <v>46</v>
      </c>
      <c r="J9" s="132"/>
      <c r="K9" s="46" t="s">
        <v>2</v>
      </c>
      <c r="L9" s="46" t="s">
        <v>1</v>
      </c>
      <c r="M9" s="113" t="s">
        <v>47</v>
      </c>
      <c r="N9" s="113" t="s">
        <v>50</v>
      </c>
    </row>
    <row r="10" spans="1:14" s="2" customFormat="1" ht="30" customHeight="1" thickBot="1">
      <c r="A10" s="104">
        <v>1</v>
      </c>
      <c r="B10" s="4" t="s">
        <v>95</v>
      </c>
      <c r="C10" s="3">
        <v>8</v>
      </c>
      <c r="D10" s="3">
        <v>34</v>
      </c>
      <c r="E10" s="23">
        <f>D10</f>
        <v>34</v>
      </c>
      <c r="F10" s="24">
        <v>39.549999999999997</v>
      </c>
      <c r="G10" s="31">
        <f>(40.77+40.28+41.41+41.32+40.9+40.24+39.93+39.87+39.64+39.71+39.77+39.78+39.68+39.7+39.68+40.16+40.01+39.85+39.89+39.79+39.86+39.99+40.01+39.67+40.03+40+39.94+39.76+39.82+39.81+39.55+40.28)/32</f>
        <v>40.03437499999999</v>
      </c>
      <c r="H10" s="26">
        <v>1</v>
      </c>
      <c r="I10" s="15">
        <f>G10-F10</f>
        <v>0.48437499999999289</v>
      </c>
      <c r="J10" s="12">
        <v>1.6620370370370372E-2</v>
      </c>
      <c r="K10" s="12">
        <f>J10</f>
        <v>1.6620370370370372E-2</v>
      </c>
      <c r="L10" s="13">
        <f>K10</f>
        <v>1.6620370370370372E-2</v>
      </c>
      <c r="M10" s="85" t="s">
        <v>136</v>
      </c>
      <c r="N10" s="86"/>
    </row>
    <row r="11" spans="1:14" s="2" customFormat="1" ht="30" customHeight="1" thickBot="1">
      <c r="A11" s="104">
        <v>2</v>
      </c>
      <c r="B11" s="4" t="s">
        <v>95</v>
      </c>
      <c r="C11" s="3">
        <v>4</v>
      </c>
      <c r="D11" s="3">
        <v>101</v>
      </c>
      <c r="E11" s="23">
        <f>D11-D10</f>
        <v>67</v>
      </c>
      <c r="F11" s="110">
        <v>39.64</v>
      </c>
      <c r="G11" s="71">
        <f>(40.78+40.04+39.88+39.95+40+40.31+39.92+40.1+39.91+40.1+40.26+39.67+39.78+39.84+39.98+40.47+39.99+39.64+39.72+39.75+39.71+40.25+40.12+39.83+39.99+39.78+40.23+39.93+39.9+39.98+40.04+40.23+39.98+40.04+40.24+40.55+40.06+40.19+39.89+39.86+40.06+39.86+40+40.04+39.97+39.91+40.02+40.03+39.74+40.04+39.82+40.06+40.01+39.76+40.05+39.9+39.97+39.79+39.71+40.07+39.68+39.84+39.97+40.48+40.03+40.53)/66</f>
        <v>40.00348484848486</v>
      </c>
      <c r="H11" s="26">
        <v>6</v>
      </c>
      <c r="I11" s="18">
        <f t="shared" ref="I11:I13" si="0">G11-F11</f>
        <v>0.36348484848485896</v>
      </c>
      <c r="J11" s="12">
        <v>4.8784722222222222E-2</v>
      </c>
      <c r="K11" s="12">
        <f>J11-J10</f>
        <v>3.2164351851851847E-2</v>
      </c>
      <c r="L11" s="12">
        <f>K11+K10</f>
        <v>4.8784722222222215E-2</v>
      </c>
      <c r="M11" s="85" t="s">
        <v>137</v>
      </c>
      <c r="N11" s="86"/>
    </row>
    <row r="12" spans="1:14" s="2" customFormat="1" ht="30" customHeight="1" thickBot="1">
      <c r="A12" s="104">
        <v>3</v>
      </c>
      <c r="B12" s="4" t="s">
        <v>96</v>
      </c>
      <c r="C12" s="3">
        <v>69</v>
      </c>
      <c r="D12" s="3">
        <v>131</v>
      </c>
      <c r="E12" s="23">
        <f>D12-D11</f>
        <v>30</v>
      </c>
      <c r="F12" s="16">
        <v>39.54</v>
      </c>
      <c r="G12" s="31">
        <f>(40.78+40.17+40.02+39.8+39.92+40.24+39.91+39.82+39.67+39.76+39.75+40.62+39.8+40.02+39.6+39.76+39.82+39.9+39.74+39.71+39.93+39.58+39.81+39.76+39.72+39.66+39.54+39.84+39.58)/29</f>
        <v>39.869999999999997</v>
      </c>
      <c r="H12" s="26">
        <v>3</v>
      </c>
      <c r="I12" s="22">
        <f t="shared" si="0"/>
        <v>0.32999999999999829</v>
      </c>
      <c r="J12" s="12">
        <v>6.3715277777777787E-2</v>
      </c>
      <c r="K12" s="12">
        <f>J12-J11</f>
        <v>1.4930555555555565E-2</v>
      </c>
      <c r="L12" s="13">
        <f>K12</f>
        <v>1.4930555555555565E-2</v>
      </c>
      <c r="M12" s="85" t="s">
        <v>138</v>
      </c>
      <c r="N12" s="86"/>
    </row>
    <row r="13" spans="1:14" s="2" customFormat="1" ht="30" customHeight="1" thickBot="1">
      <c r="A13" s="105" t="s">
        <v>9</v>
      </c>
      <c r="B13" s="6" t="s">
        <v>96</v>
      </c>
      <c r="C13" s="58">
        <v>21</v>
      </c>
      <c r="D13" s="58">
        <v>174</v>
      </c>
      <c r="E13" s="23">
        <f>D13-D12</f>
        <v>43</v>
      </c>
      <c r="F13" s="162">
        <v>39.6</v>
      </c>
      <c r="G13" s="30">
        <f>(41.19+40.22+40.01+40.12+39.99+39.66+39.92+40.09+40.04+40.17+39.63+39.6+39.64+39.77+39.74+39.97+39.92+40+39.92+40.65+39.65+39.73+39.75+39.77+40.24+40.03+39.72+39.81+39.72+39.77+39.86+39.94+39.77+39.72+39.78+39.74+40.46+39.92+39.69+39.98+39.68+39.85+39.71)/43</f>
        <v>39.919534883720935</v>
      </c>
      <c r="H13" s="26">
        <v>6</v>
      </c>
      <c r="I13" s="82">
        <f t="shared" si="0"/>
        <v>0.31953488372093375</v>
      </c>
      <c r="J13" s="29">
        <v>8.3634259259259255E-2</v>
      </c>
      <c r="K13" s="29">
        <f>J13-J12</f>
        <v>1.9918981481481468E-2</v>
      </c>
      <c r="L13" s="29">
        <f>K13+K12</f>
        <v>3.4849537037037033E-2</v>
      </c>
      <c r="M13" s="85"/>
      <c r="N13" s="86"/>
    </row>
    <row r="14" spans="1:14" s="2" customFormat="1" ht="30" customHeight="1">
      <c r="A14" s="106"/>
      <c r="B14" s="20"/>
      <c r="C14" s="21"/>
      <c r="D14" s="21"/>
      <c r="E14" s="21"/>
      <c r="F14" s="88">
        <f>AVERAGE(F10,F11)</f>
        <v>39.594999999999999</v>
      </c>
      <c r="G14" s="89">
        <f>AVERAGE(G10,G11)</f>
        <v>40.018929924242428</v>
      </c>
      <c r="H14" s="89" t="s">
        <v>148</v>
      </c>
      <c r="I14" s="90">
        <f>AVERAGE(I10,I11)</f>
        <v>0.42392992424242593</v>
      </c>
      <c r="J14" s="21"/>
      <c r="K14" s="21"/>
      <c r="L14" s="21"/>
      <c r="M14" s="91"/>
      <c r="N14" s="91"/>
    </row>
    <row r="15" spans="1:14" ht="27.75" customHeight="1">
      <c r="A15" s="92"/>
      <c r="B15" s="92"/>
      <c r="C15" s="92"/>
      <c r="D15" s="93"/>
      <c r="E15" s="94"/>
      <c r="F15" s="95">
        <f>AVERAGE(F12,F13)</f>
        <v>39.57</v>
      </c>
      <c r="G15" s="96">
        <f>AVERAGE(G12,G13)</f>
        <v>39.894767441860466</v>
      </c>
      <c r="H15" s="96" t="s">
        <v>149</v>
      </c>
      <c r="I15" s="97">
        <f>AVERAGE(I12,I13)</f>
        <v>0.32476744186046602</v>
      </c>
      <c r="J15" s="94"/>
      <c r="K15" s="94"/>
      <c r="L15" s="94"/>
      <c r="M15" s="91"/>
      <c r="N15" s="91"/>
    </row>
    <row r="16" spans="1:14" ht="30" customHeight="1" thickBot="1">
      <c r="A16" s="98"/>
      <c r="B16" s="98"/>
      <c r="C16" s="98"/>
      <c r="D16" s="94"/>
      <c r="E16" s="94"/>
      <c r="F16" s="59">
        <f>AVERAGE(F10:F13)</f>
        <v>39.582499999999996</v>
      </c>
      <c r="G16" s="60">
        <f>AVERAGE(G10:G13)</f>
        <v>39.956848683051447</v>
      </c>
      <c r="H16" s="61"/>
      <c r="I16" s="62">
        <f>AVERAGE(I10:I13)</f>
        <v>0.37434868305144597</v>
      </c>
      <c r="J16" s="94"/>
      <c r="K16" s="94"/>
      <c r="L16" s="94"/>
      <c r="M16" s="98"/>
      <c r="N16" s="98"/>
    </row>
    <row r="19" spans="13:14">
      <c r="M19" s="1"/>
      <c r="N19" s="1"/>
    </row>
    <row r="20" spans="13:14">
      <c r="M20" s="2"/>
      <c r="N20" s="2"/>
    </row>
    <row r="21" spans="13:14">
      <c r="M21" s="2"/>
      <c r="N21" s="2"/>
    </row>
    <row r="22" spans="13:14">
      <c r="M22" s="2"/>
      <c r="N22" s="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workbookViewId="0">
      <selection activeCell="F28" sqref="F28"/>
    </sheetView>
  </sheetViews>
  <sheetFormatPr defaultRowHeight="1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4.285156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12.42578125" customWidth="1"/>
  </cols>
  <sheetData>
    <row r="1" spans="1:14" ht="15.75">
      <c r="A1" s="98"/>
      <c r="B1" s="98"/>
      <c r="C1" s="98"/>
      <c r="D1" s="94"/>
      <c r="E1" s="94"/>
      <c r="F1" s="94"/>
      <c r="G1" s="94"/>
      <c r="H1" s="94"/>
      <c r="I1" s="94"/>
      <c r="J1" s="94"/>
      <c r="K1" s="94"/>
      <c r="L1" s="94"/>
      <c r="M1" s="98"/>
      <c r="N1" s="98"/>
    </row>
    <row r="2" spans="1:14" ht="15.75">
      <c r="A2" s="98"/>
      <c r="B2" s="98"/>
      <c r="C2" s="98"/>
      <c r="D2" s="94"/>
      <c r="E2" s="94"/>
      <c r="F2" s="94"/>
      <c r="G2" s="94"/>
      <c r="H2" s="94"/>
      <c r="I2" s="94"/>
      <c r="J2" s="94"/>
      <c r="K2" s="94"/>
      <c r="L2" s="94"/>
      <c r="M2" s="98"/>
      <c r="N2" s="98"/>
    </row>
    <row r="3" spans="1:14" ht="15.75">
      <c r="A3" s="98"/>
      <c r="B3" s="98"/>
      <c r="C3" s="98"/>
      <c r="D3" s="94"/>
      <c r="E3" s="94"/>
      <c r="F3" s="94"/>
      <c r="G3" s="94"/>
      <c r="H3" s="94"/>
      <c r="I3" s="94"/>
      <c r="J3" s="94"/>
      <c r="K3" s="94"/>
      <c r="L3" s="94"/>
      <c r="M3" s="98"/>
      <c r="N3" s="98"/>
    </row>
    <row r="4" spans="1:14" ht="18.75">
      <c r="A4" s="128" t="s">
        <v>161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98"/>
      <c r="N4" s="98"/>
    </row>
    <row r="5" spans="1:14" ht="7.5" customHeight="1">
      <c r="A5" s="98"/>
      <c r="B5" s="98"/>
      <c r="C5" s="98"/>
      <c r="D5" s="94"/>
      <c r="E5" s="94"/>
      <c r="F5" s="94"/>
      <c r="G5" s="94"/>
      <c r="H5" s="94"/>
      <c r="I5" s="94"/>
      <c r="J5" s="94"/>
      <c r="K5" s="94"/>
      <c r="L5" s="94"/>
      <c r="M5" s="98"/>
      <c r="N5" s="98"/>
    </row>
    <row r="6" spans="1:14" ht="15.75">
      <c r="A6" s="140" t="s">
        <v>107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98"/>
      <c r="N6" s="98"/>
    </row>
    <row r="7" spans="1:14" ht="7.5" customHeight="1">
      <c r="A7" s="98"/>
      <c r="B7" s="98"/>
      <c r="C7" s="98"/>
      <c r="D7" s="94"/>
      <c r="E7" s="94"/>
      <c r="F7" s="94"/>
      <c r="G7" s="94"/>
      <c r="H7" s="94"/>
      <c r="I7" s="94"/>
      <c r="J7" s="94"/>
      <c r="K7" s="94"/>
      <c r="L7" s="94"/>
      <c r="M7" s="98"/>
      <c r="N7" s="98"/>
    </row>
    <row r="8" spans="1:14" s="1" customFormat="1" ht="20.25" customHeight="1">
      <c r="A8" s="141" t="s">
        <v>4</v>
      </c>
      <c r="B8" s="142" t="s">
        <v>3</v>
      </c>
      <c r="C8" s="143" t="s">
        <v>11</v>
      </c>
      <c r="D8" s="142" t="s">
        <v>0</v>
      </c>
      <c r="E8" s="145" t="s">
        <v>49</v>
      </c>
      <c r="F8" s="147" t="s">
        <v>51</v>
      </c>
      <c r="G8" s="148"/>
      <c r="H8" s="148"/>
      <c r="I8" s="149"/>
      <c r="J8" s="150" t="s">
        <v>10</v>
      </c>
      <c r="K8" s="141" t="s">
        <v>87</v>
      </c>
      <c r="L8" s="141"/>
      <c r="M8" s="94"/>
      <c r="N8" s="94"/>
    </row>
    <row r="9" spans="1:14" s="1" customFormat="1" ht="27.75" customHeight="1">
      <c r="A9" s="141"/>
      <c r="B9" s="142"/>
      <c r="C9" s="144"/>
      <c r="D9" s="142"/>
      <c r="E9" s="146"/>
      <c r="F9" s="101" t="s">
        <v>44</v>
      </c>
      <c r="G9" s="101" t="s">
        <v>45</v>
      </c>
      <c r="H9" s="101" t="s">
        <v>48</v>
      </c>
      <c r="I9" s="86" t="s">
        <v>46</v>
      </c>
      <c r="J9" s="151"/>
      <c r="K9" s="102" t="s">
        <v>2</v>
      </c>
      <c r="L9" s="102" t="s">
        <v>1</v>
      </c>
      <c r="M9" s="103" t="s">
        <v>47</v>
      </c>
      <c r="N9" s="103" t="s">
        <v>50</v>
      </c>
    </row>
    <row r="10" spans="1:14" s="2" customFormat="1" ht="30" customHeight="1" thickBot="1">
      <c r="A10" s="104">
        <v>1</v>
      </c>
      <c r="B10" s="4" t="s">
        <v>15</v>
      </c>
      <c r="C10" s="3">
        <v>9</v>
      </c>
      <c r="D10" s="3">
        <v>28</v>
      </c>
      <c r="E10" s="23">
        <f>D10</f>
        <v>28</v>
      </c>
      <c r="F10" s="28">
        <v>39.97</v>
      </c>
      <c r="G10" s="30">
        <f>(40.82+40.47+41.14+41.16+40.62+40.89+40.53+40.48+40.41+40.16+40.5+40.5+41.37+40.4+40.36+40.41+41.63+40.09+40.25+40.09+40.1+39.97+40.81+40.12+40.46+41.17)/26</f>
        <v>40.573461538461544</v>
      </c>
      <c r="H10" s="26">
        <v>0</v>
      </c>
      <c r="I10" s="15">
        <f>G10-F10</f>
        <v>0.60346153846154493</v>
      </c>
      <c r="J10" s="12">
        <v>1.4108796296296295E-2</v>
      </c>
      <c r="K10" s="12">
        <f>J10</f>
        <v>1.4108796296296295E-2</v>
      </c>
      <c r="L10" s="13">
        <f>K10</f>
        <v>1.4108796296296295E-2</v>
      </c>
      <c r="M10" s="85" t="s">
        <v>118</v>
      </c>
      <c r="N10" s="86"/>
    </row>
    <row r="11" spans="1:14" s="2" customFormat="1" ht="30" customHeight="1" thickBot="1">
      <c r="A11" s="104">
        <v>2</v>
      </c>
      <c r="B11" s="4" t="s">
        <v>15</v>
      </c>
      <c r="C11" s="3">
        <v>3</v>
      </c>
      <c r="D11" s="3">
        <v>71</v>
      </c>
      <c r="E11" s="23">
        <f>D11-D10</f>
        <v>43</v>
      </c>
      <c r="F11" s="114">
        <v>39.86</v>
      </c>
      <c r="G11" s="81">
        <f>(41.13+40.29+40.05+40.29+40.13+40.43+40.52+40.1+40.13+40.4+40.21+40.38+40.37+40.28+40.4+39.92+40.19+40.32+40.27+40.23+39.97+39.9+40.13+40+40.07+40+40.12+40.39+40.19+40.15+39.96+40.6+40.6+40.57+40.87+40.42+39.86+40.45+40.3+40.22+40.27+40.22)/42</f>
        <v>40.269047619047612</v>
      </c>
      <c r="H11" s="26">
        <v>3</v>
      </c>
      <c r="I11" s="18">
        <f t="shared" ref="I11:I13" si="0">G11-F11</f>
        <v>0.40904761904761244</v>
      </c>
      <c r="J11" s="12">
        <v>3.5243055555555555E-2</v>
      </c>
      <c r="K11" s="12">
        <f>J11-J10</f>
        <v>2.1134259259259262E-2</v>
      </c>
      <c r="L11" s="12">
        <f>K11+K10</f>
        <v>3.5243055555555555E-2</v>
      </c>
      <c r="M11" s="85" t="s">
        <v>119</v>
      </c>
      <c r="N11" s="86"/>
    </row>
    <row r="12" spans="1:14" s="2" customFormat="1" ht="30" customHeight="1" thickBot="1">
      <c r="A12" s="104">
        <v>3</v>
      </c>
      <c r="B12" s="4" t="s">
        <v>75</v>
      </c>
      <c r="C12" s="3">
        <v>33</v>
      </c>
      <c r="D12" s="3">
        <v>132</v>
      </c>
      <c r="E12" s="23">
        <f>D12-D11</f>
        <v>61</v>
      </c>
      <c r="F12" s="35">
        <v>39.5</v>
      </c>
      <c r="G12" s="30">
        <f>(41.7+41.2+40.18+39.97+40.11+40.07+39.87+39.89+39.73+39.91+39.68+40.07+39.82+39.72+39.62+39.66+39.6+39.6+39.68+39.9+40.13+40.48+39.96+39.87+39.76+39.93+39.72+39.81+39.63+39.97+39.74+40.06+39.71+39.67+39.95+39.67+40.22+39.86+39.71+39.7+39.77+39.54+39.55+39.81+39.53+39.67+40.35+39.98+39.82+39.63+39.58+39.61+39.69+39.5+39.68+39.92+39.65+39.81+39.81+39.66)/60</f>
        <v>39.868166666666667</v>
      </c>
      <c r="H12" s="26">
        <v>6</v>
      </c>
      <c r="I12" s="22">
        <f t="shared" si="0"/>
        <v>0.3681666666666672</v>
      </c>
      <c r="J12" s="12">
        <v>6.4513888888888885E-2</v>
      </c>
      <c r="K12" s="12">
        <f>J12-J11</f>
        <v>2.9270833333333329E-2</v>
      </c>
      <c r="L12" s="13">
        <f>K12</f>
        <v>2.9270833333333329E-2</v>
      </c>
      <c r="M12" s="85" t="s">
        <v>120</v>
      </c>
      <c r="N12" s="86"/>
    </row>
    <row r="13" spans="1:14" s="2" customFormat="1" ht="30" customHeight="1" thickBot="1">
      <c r="A13" s="105" t="s">
        <v>9</v>
      </c>
      <c r="B13" s="6" t="s">
        <v>75</v>
      </c>
      <c r="C13" s="58">
        <v>69</v>
      </c>
      <c r="D13" s="58">
        <v>174</v>
      </c>
      <c r="E13" s="23">
        <f>D13-D12</f>
        <v>42</v>
      </c>
      <c r="F13" s="32">
        <v>39.159999999999997</v>
      </c>
      <c r="G13" s="33">
        <f>(40.89+39.54+40.06+39.44+39.4+39.3+39.61+39.52+39.16+39.46+39.41+39.31+39.57+39.41+39.31+39.51+39.5+39.45+39.22+39.7+39.44+39.42+39.57+39.27+39.42+39.16+39.48+39.33+39.3+39.25+39.4+39.47+39.46+39.29+39.64+40.22+39.47+39.31+39.32+39.45+39.38+39.31)/42</f>
        <v>39.479285714285716</v>
      </c>
      <c r="H13" s="28">
        <v>4</v>
      </c>
      <c r="I13" s="82">
        <f t="shared" si="0"/>
        <v>0.31928571428571928</v>
      </c>
      <c r="J13" s="29">
        <v>8.3634259259259255E-2</v>
      </c>
      <c r="K13" s="29">
        <f>J13-J12</f>
        <v>1.9120370370370371E-2</v>
      </c>
      <c r="L13" s="29">
        <f>K13+K12</f>
        <v>4.83912037037037E-2</v>
      </c>
      <c r="M13" s="85"/>
      <c r="N13" s="86"/>
    </row>
    <row r="14" spans="1:14" s="2" customFormat="1" ht="30" customHeight="1">
      <c r="A14" s="106"/>
      <c r="B14" s="20"/>
      <c r="C14" s="21"/>
      <c r="D14" s="21"/>
      <c r="E14" s="21"/>
      <c r="F14" s="107">
        <f>AVERAGE(F10,F11)</f>
        <v>39.914999999999999</v>
      </c>
      <c r="G14" s="108">
        <f>AVERAGE(G10,G11)</f>
        <v>40.421254578754578</v>
      </c>
      <c r="H14" s="108" t="s">
        <v>58</v>
      </c>
      <c r="I14" s="90">
        <f>AVERAGE(I10,I11)</f>
        <v>0.50625457875457869</v>
      </c>
      <c r="J14" s="21"/>
      <c r="K14" s="21"/>
      <c r="L14" s="21"/>
      <c r="M14" s="91"/>
      <c r="N14" s="91"/>
    </row>
    <row r="15" spans="1:14" ht="27.75" customHeight="1">
      <c r="A15" s="92"/>
      <c r="B15" s="92"/>
      <c r="C15" s="92"/>
      <c r="D15" s="93"/>
      <c r="E15" s="94"/>
      <c r="F15" s="95">
        <f>AVERAGE(F12,F13)</f>
        <v>39.33</v>
      </c>
      <c r="G15" s="96">
        <f>AVERAGE(G12,G13)</f>
        <v>39.673726190476188</v>
      </c>
      <c r="H15" s="96" t="s">
        <v>55</v>
      </c>
      <c r="I15" s="97">
        <f>AVERAGE(I12,I13)</f>
        <v>0.34372619047619324</v>
      </c>
      <c r="J15" s="94"/>
      <c r="K15" s="94"/>
      <c r="L15" s="94"/>
      <c r="M15" s="91"/>
      <c r="N15" s="91"/>
    </row>
    <row r="16" spans="1:14" ht="30" customHeight="1" thickBot="1">
      <c r="A16" s="98"/>
      <c r="B16" s="98"/>
      <c r="C16" s="98"/>
      <c r="D16" s="94"/>
      <c r="E16" s="94"/>
      <c r="F16" s="59">
        <f>AVERAGE(F10:F13)</f>
        <v>39.622500000000002</v>
      </c>
      <c r="G16" s="60">
        <f>AVERAGE(G10:G13)</f>
        <v>40.047490384615386</v>
      </c>
      <c r="H16" s="61"/>
      <c r="I16" s="62">
        <f>AVERAGE(I10:I13)</f>
        <v>0.42499038461538596</v>
      </c>
      <c r="J16" s="94"/>
      <c r="K16" s="94"/>
      <c r="L16" s="94"/>
      <c r="M16" s="98"/>
      <c r="N16" s="98"/>
    </row>
    <row r="19" spans="13:14">
      <c r="M19" s="1"/>
      <c r="N19" s="1"/>
    </row>
    <row r="20" spans="13:14">
      <c r="M20" s="2"/>
      <c r="N20" s="2"/>
    </row>
    <row r="21" spans="13:14">
      <c r="M21" s="2"/>
      <c r="N21" s="2"/>
    </row>
    <row r="22" spans="13:14">
      <c r="M22" s="2"/>
      <c r="N22" s="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N22"/>
  <sheetViews>
    <sheetView zoomScale="75" zoomScaleNormal="75" workbookViewId="0">
      <selection activeCell="A4" sqref="A4:L4"/>
    </sheetView>
  </sheetViews>
  <sheetFormatPr defaultRowHeight="1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12.42578125" customWidth="1"/>
  </cols>
  <sheetData>
    <row r="4" spans="1:14" ht="18.75">
      <c r="A4" s="128" t="s">
        <v>161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4" ht="7.5" customHeight="1"/>
    <row r="6" spans="1:14" ht="17.25">
      <c r="A6" s="116" t="s">
        <v>108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4" ht="7.5" customHeight="1"/>
    <row r="8" spans="1:14" s="1" customFormat="1" ht="20.25" customHeight="1">
      <c r="A8" s="129" t="s">
        <v>4</v>
      </c>
      <c r="B8" s="130" t="s">
        <v>3</v>
      </c>
      <c r="C8" s="133" t="s">
        <v>11</v>
      </c>
      <c r="D8" s="130" t="s">
        <v>0</v>
      </c>
      <c r="E8" s="135" t="s">
        <v>49</v>
      </c>
      <c r="F8" s="137" t="s">
        <v>51</v>
      </c>
      <c r="G8" s="138"/>
      <c r="H8" s="138"/>
      <c r="I8" s="139"/>
      <c r="J8" s="131" t="s">
        <v>10</v>
      </c>
      <c r="K8" s="129" t="s">
        <v>87</v>
      </c>
      <c r="L8" s="129"/>
      <c r="M8" s="84"/>
      <c r="N8" s="84"/>
    </row>
    <row r="9" spans="1:14" s="1" customFormat="1" ht="27.75" customHeight="1" thickBot="1">
      <c r="A9" s="129"/>
      <c r="B9" s="130"/>
      <c r="C9" s="134"/>
      <c r="D9" s="130"/>
      <c r="E9" s="136"/>
      <c r="F9" s="112" t="s">
        <v>44</v>
      </c>
      <c r="G9" s="112" t="s">
        <v>45</v>
      </c>
      <c r="H9" s="112" t="s">
        <v>48</v>
      </c>
      <c r="I9" s="83" t="s">
        <v>46</v>
      </c>
      <c r="J9" s="132"/>
      <c r="K9" s="46" t="s">
        <v>2</v>
      </c>
      <c r="L9" s="46" t="s">
        <v>1</v>
      </c>
      <c r="M9" s="113" t="s">
        <v>47</v>
      </c>
      <c r="N9" s="113" t="s">
        <v>50</v>
      </c>
    </row>
    <row r="10" spans="1:14" s="2" customFormat="1" ht="30" customHeight="1" thickBot="1">
      <c r="A10" s="104">
        <v>1</v>
      </c>
      <c r="B10" s="4" t="s">
        <v>111</v>
      </c>
      <c r="C10" s="3">
        <v>21</v>
      </c>
      <c r="D10" s="3">
        <v>38</v>
      </c>
      <c r="E10" s="23">
        <f>D10</f>
        <v>38</v>
      </c>
      <c r="F10" s="24">
        <v>39.590000000000003</v>
      </c>
      <c r="G10" s="31">
        <f>(41.07+40.54+40.56+40.6+43.15+40.5+40.15+40.1+39.8+39.83+39.99+40.27+40.67+40.07+39.94+40.16+40.2+40.14+39.84+40.2+39.89+39.86+40.01+39.69+39.86+39.83+40.7+39.93+39.59+39.94+39.68+39.98+39.75+40.04+40.07+40.04)/36</f>
        <v>40.184444444444445</v>
      </c>
      <c r="H10" s="26">
        <v>2</v>
      </c>
      <c r="I10" s="15">
        <f>G10-F10</f>
        <v>0.59444444444444144</v>
      </c>
      <c r="J10" s="72">
        <v>1.8761574074074073E-2</v>
      </c>
      <c r="K10" s="12">
        <f>J10</f>
        <v>1.8761574074074073E-2</v>
      </c>
      <c r="L10" s="13">
        <f>K10</f>
        <v>1.8761574074074073E-2</v>
      </c>
      <c r="M10" s="85" t="s">
        <v>139</v>
      </c>
      <c r="N10" s="86"/>
    </row>
    <row r="11" spans="1:14" s="2" customFormat="1" ht="30" customHeight="1">
      <c r="A11" s="104">
        <v>2</v>
      </c>
      <c r="B11" s="4" t="s">
        <v>111</v>
      </c>
      <c r="C11" s="3">
        <v>8</v>
      </c>
      <c r="D11" s="3">
        <v>100</v>
      </c>
      <c r="E11" s="23">
        <f>D11-D10</f>
        <v>62</v>
      </c>
      <c r="F11" s="109">
        <v>39.75</v>
      </c>
      <c r="G11" s="71">
        <f>(41.32+40.22+40.31+40.04+40.52+40.09+40.33+40.14+39.99+40.2+40.17+40.14+40.23+39.8+40.05+40.18+40.12+40.03+39.83+40.02+39.96+40.22+40.26+40.18+39.81+40.12+40.1+40.14+39.99+40.23+40.19+40.09+40.16+40+40.02+40.08+40.16+40.18+40.17+40.22+40.17+40.3+40.1+40.21+39.75+40.29+40.34+40.2+40.09+39.96+40.08+40.66+40.18+40.18+40.12+40.23+40.44+40.33+40.13+40.15+40.41)/61</f>
        <v>40.16934426229507</v>
      </c>
      <c r="H11" s="26">
        <v>3</v>
      </c>
      <c r="I11" s="18">
        <f t="shared" ref="I11:I13" si="0">G11-F11</f>
        <v>0.41934426229506983</v>
      </c>
      <c r="J11" s="12">
        <v>4.8738425925925921E-2</v>
      </c>
      <c r="K11" s="12">
        <f>J11-J10</f>
        <v>2.9976851851851848E-2</v>
      </c>
      <c r="L11" s="12">
        <f>K11+K10</f>
        <v>4.8738425925925921E-2</v>
      </c>
      <c r="M11" s="85" t="s">
        <v>140</v>
      </c>
      <c r="N11" s="86"/>
    </row>
    <row r="12" spans="1:14" s="2" customFormat="1" ht="30" customHeight="1" thickBot="1">
      <c r="A12" s="104">
        <v>3</v>
      </c>
      <c r="B12" s="4" t="s">
        <v>13</v>
      </c>
      <c r="C12" s="3">
        <v>2</v>
      </c>
      <c r="D12" s="3">
        <v>130</v>
      </c>
      <c r="E12" s="23">
        <f>D12-D11</f>
        <v>30</v>
      </c>
      <c r="F12" s="28">
        <v>39.65</v>
      </c>
      <c r="G12" s="30">
        <f>(41.24+40.21+40.17+40.25+40.16+40.31+40.2+39.87+40.31+40.15+40.6+41.19+40.07+40.09+40.14+40.44+40.12+40.02+40.06+39.87+39.99+39.65+40.04+40.03+40.06+40.26+39.94+40.05+40.24)/29</f>
        <v>40.197586206896553</v>
      </c>
      <c r="H12" s="26">
        <v>0</v>
      </c>
      <c r="I12" s="22">
        <f t="shared" si="0"/>
        <v>0.54758620689655402</v>
      </c>
      <c r="J12" s="12">
        <v>6.3796296296296295E-2</v>
      </c>
      <c r="K12" s="12">
        <f>J12-J11</f>
        <v>1.5057870370370374E-2</v>
      </c>
      <c r="L12" s="13">
        <f>K12</f>
        <v>1.5057870370370374E-2</v>
      </c>
      <c r="M12" s="85" t="s">
        <v>141</v>
      </c>
      <c r="N12" s="86"/>
    </row>
    <row r="13" spans="1:14" s="2" customFormat="1" ht="30" customHeight="1" thickBot="1">
      <c r="A13" s="105" t="s">
        <v>9</v>
      </c>
      <c r="B13" s="6" t="s">
        <v>13</v>
      </c>
      <c r="C13" s="58">
        <v>7</v>
      </c>
      <c r="D13" s="58">
        <v>173</v>
      </c>
      <c r="E13" s="23">
        <f>D13-D12</f>
        <v>43</v>
      </c>
      <c r="F13" s="16">
        <v>39.409999999999997</v>
      </c>
      <c r="G13" s="31">
        <f>(40.67+40+40.06+39.66+39.94+39.84+39.82+39.91+39.77+39.72+39.76+39.85+39.62+39.59+39.6+39.89+39.55+39.55+39.91+39.61+39.59+39.93+40.26+39.58+39.54+39.54+39.89+39.57+39.62+39.59+40.24+39.72+39.47+39.41+40.54+39.93+39.71+39.95+39.75+40.43+39.74+39.62+39.69)/43</f>
        <v>39.805348837209301</v>
      </c>
      <c r="H13" s="26">
        <v>1</v>
      </c>
      <c r="I13" s="82">
        <f t="shared" si="0"/>
        <v>0.3953488372093048</v>
      </c>
      <c r="J13" s="29">
        <v>8.3634259259259255E-2</v>
      </c>
      <c r="K13" s="29">
        <f>J13-J12</f>
        <v>1.983796296296296E-2</v>
      </c>
      <c r="L13" s="29">
        <f>K13+K12</f>
        <v>3.4895833333333334E-2</v>
      </c>
      <c r="M13" s="85"/>
      <c r="N13" s="86"/>
    </row>
    <row r="14" spans="1:14" s="2" customFormat="1" ht="30" customHeight="1">
      <c r="A14" s="106"/>
      <c r="B14" s="20"/>
      <c r="C14" s="21"/>
      <c r="D14" s="21"/>
      <c r="E14" s="21"/>
      <c r="F14" s="88">
        <f>AVERAGE(F10,F11)</f>
        <v>39.67</v>
      </c>
      <c r="G14" s="89">
        <f>AVERAGE(G10,G11)</f>
        <v>40.176894353369761</v>
      </c>
      <c r="H14" s="89" t="s">
        <v>68</v>
      </c>
      <c r="I14" s="90">
        <f>AVERAGE(I10,I11)</f>
        <v>0.50689435336975563</v>
      </c>
      <c r="J14" s="21"/>
      <c r="K14" s="21"/>
      <c r="L14" s="21"/>
      <c r="M14" s="91"/>
      <c r="N14" s="91"/>
    </row>
    <row r="15" spans="1:14" ht="27.75" customHeight="1">
      <c r="A15" s="92"/>
      <c r="B15" s="92"/>
      <c r="C15" s="92"/>
      <c r="D15" s="93"/>
      <c r="E15" s="94"/>
      <c r="F15" s="95">
        <f>AVERAGE(F12,F13)</f>
        <v>39.53</v>
      </c>
      <c r="G15" s="96">
        <f>AVERAGE(G12,G13)</f>
        <v>40.001467522052927</v>
      </c>
      <c r="H15" s="96" t="s">
        <v>54</v>
      </c>
      <c r="I15" s="97">
        <f>AVERAGE(I12,I13)</f>
        <v>0.47146752205292941</v>
      </c>
      <c r="J15" s="94"/>
      <c r="K15" s="94"/>
      <c r="L15" s="94"/>
      <c r="M15" s="91"/>
      <c r="N15" s="91"/>
    </row>
    <row r="16" spans="1:14" ht="30" customHeight="1" thickBot="1">
      <c r="A16" s="98"/>
      <c r="B16" s="98"/>
      <c r="C16" s="98"/>
      <c r="D16" s="94"/>
      <c r="E16" s="94"/>
      <c r="F16" s="59">
        <f>AVERAGE(F10:F13)</f>
        <v>39.6</v>
      </c>
      <c r="G16" s="60">
        <f>AVERAGE(G10:G13)</f>
        <v>40.08918093771134</v>
      </c>
      <c r="H16" s="61"/>
      <c r="I16" s="62">
        <f>AVERAGE(I10:I13)</f>
        <v>0.48918093771134252</v>
      </c>
      <c r="J16" s="94"/>
      <c r="K16" s="94"/>
      <c r="L16" s="94"/>
      <c r="M16" s="98"/>
      <c r="N16" s="98"/>
    </row>
    <row r="19" spans="13:14">
      <c r="M19" s="1"/>
      <c r="N19" s="1"/>
    </row>
    <row r="20" spans="13:14">
      <c r="M20" s="2"/>
      <c r="N20" s="2"/>
    </row>
    <row r="21" spans="13:14">
      <c r="M21" s="2"/>
      <c r="N21" s="2"/>
    </row>
    <row r="22" spans="13:14">
      <c r="M22" s="2"/>
      <c r="N22" s="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N22"/>
  <sheetViews>
    <sheetView zoomScale="75" zoomScaleNormal="75" workbookViewId="0">
      <selection activeCell="G15" sqref="G15"/>
    </sheetView>
  </sheetViews>
  <sheetFormatPr defaultRowHeight="1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19.85546875" customWidth="1"/>
  </cols>
  <sheetData>
    <row r="4" spans="1:14" ht="18.75">
      <c r="A4" s="128" t="s">
        <v>161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4" ht="7.5" customHeight="1"/>
    <row r="6" spans="1:14" ht="17.25">
      <c r="A6" s="116" t="s">
        <v>109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4" ht="7.5" customHeight="1"/>
    <row r="8" spans="1:14" s="1" customFormat="1" ht="20.25" customHeight="1">
      <c r="A8" s="129" t="s">
        <v>4</v>
      </c>
      <c r="B8" s="130" t="s">
        <v>3</v>
      </c>
      <c r="C8" s="133" t="s">
        <v>11</v>
      </c>
      <c r="D8" s="130" t="s">
        <v>0</v>
      </c>
      <c r="E8" s="135" t="s">
        <v>49</v>
      </c>
      <c r="F8" s="137" t="s">
        <v>51</v>
      </c>
      <c r="G8" s="138"/>
      <c r="H8" s="138"/>
      <c r="I8" s="139"/>
      <c r="J8" s="131" t="s">
        <v>10</v>
      </c>
      <c r="K8" s="129" t="s">
        <v>87</v>
      </c>
      <c r="L8" s="129"/>
    </row>
    <row r="9" spans="1:14" s="1" customFormat="1" ht="27.75" customHeight="1" thickBot="1">
      <c r="A9" s="129"/>
      <c r="B9" s="130"/>
      <c r="C9" s="134"/>
      <c r="D9" s="130"/>
      <c r="E9" s="136"/>
      <c r="F9" s="48" t="s">
        <v>44</v>
      </c>
      <c r="G9" s="48" t="s">
        <v>45</v>
      </c>
      <c r="H9" s="48" t="s">
        <v>48</v>
      </c>
      <c r="I9" s="47" t="s">
        <v>46</v>
      </c>
      <c r="J9" s="132"/>
      <c r="K9" s="46" t="s">
        <v>2</v>
      </c>
      <c r="L9" s="46" t="s">
        <v>1</v>
      </c>
      <c r="M9" s="14" t="s">
        <v>47</v>
      </c>
      <c r="N9" s="14" t="s">
        <v>50</v>
      </c>
    </row>
    <row r="10" spans="1:14" s="2" customFormat="1" ht="30" customHeight="1" thickBot="1">
      <c r="A10" s="104">
        <v>1</v>
      </c>
      <c r="B10" s="4" t="s">
        <v>94</v>
      </c>
      <c r="C10" s="3">
        <v>33</v>
      </c>
      <c r="D10" s="3">
        <v>42</v>
      </c>
      <c r="E10" s="23">
        <f>D10</f>
        <v>42</v>
      </c>
      <c r="F10" s="16">
        <v>39.74</v>
      </c>
      <c r="G10" s="31">
        <f>(41.09+40.55+41.15+41.14+50.17+42.19+40.26+40.35+40.6+41.22+42.07+40.14+40.22+40.32+40.42+40.33+40.21+40.13+40.13+39.91+40.17+40.06+40.05+39.89+39.95+40.04+40.11+40.8+40.18+39.74+39.84+40.14+40.31+40.35+40.07+40.57+40.73+40.01+40.2+40.23)/40</f>
        <v>40.650999999999996</v>
      </c>
      <c r="H10" s="26">
        <v>1</v>
      </c>
      <c r="I10" s="15">
        <f>G10-F10</f>
        <v>0.91099999999999426</v>
      </c>
      <c r="J10" s="72">
        <v>2.0300925925925927E-2</v>
      </c>
      <c r="K10" s="12">
        <f>J10</f>
        <v>2.0300925925925927E-2</v>
      </c>
      <c r="L10" s="13">
        <f>K10</f>
        <v>2.0300925925925927E-2</v>
      </c>
      <c r="M10" s="85" t="s">
        <v>142</v>
      </c>
      <c r="N10" s="86" t="s">
        <v>113</v>
      </c>
    </row>
    <row r="11" spans="1:14" s="2" customFormat="1" ht="30" customHeight="1" thickBot="1">
      <c r="A11" s="104">
        <v>2</v>
      </c>
      <c r="B11" s="4" t="s">
        <v>30</v>
      </c>
      <c r="C11" s="3">
        <v>21</v>
      </c>
      <c r="D11" s="3">
        <v>107</v>
      </c>
      <c r="E11" s="23">
        <f>D11-D10</f>
        <v>65</v>
      </c>
      <c r="F11" s="111">
        <v>39.75</v>
      </c>
      <c r="G11" s="81">
        <f>(41.64+41.09+42.65+40.57+40.29+40.11+40.03+40.4+40.52+40.03+39.96+40.19+40.39+40.21+39.93+40.06+40.08+40.53+39.92+40.26+40.28+40.02+40.29+40.08+40.14+40.15+40.7+40.27+40.06+40.06+39.96+40.01+40.08+40.09+40+40.19+39.79+40.07+39.88+39.99+39.88+39.87+39.97+39.88+40.08+40.02+39.85+39.97+40.02+39.94+39.93+40.04+40.05+40.55+40.38+40.11+39.93+39.75+39.86+39.89+39.87+39.97+39.94+40.52)/64</f>
        <v>40.175624999999997</v>
      </c>
      <c r="H11" s="26">
        <v>2</v>
      </c>
      <c r="I11" s="22">
        <f t="shared" ref="I11:I13" si="0">G11-F11</f>
        <v>0.42562499999999659</v>
      </c>
      <c r="J11" s="12">
        <v>5.1620370370370372E-2</v>
      </c>
      <c r="K11" s="12">
        <f>J11-J10</f>
        <v>3.1319444444444441E-2</v>
      </c>
      <c r="L11" s="13">
        <f>K11</f>
        <v>3.1319444444444441E-2</v>
      </c>
      <c r="M11" s="85" t="s">
        <v>143</v>
      </c>
      <c r="N11" s="86"/>
    </row>
    <row r="12" spans="1:14" s="2" customFormat="1" ht="30" customHeight="1">
      <c r="A12" s="104">
        <v>3</v>
      </c>
      <c r="B12" s="4" t="s">
        <v>94</v>
      </c>
      <c r="C12" s="3">
        <v>4</v>
      </c>
      <c r="D12" s="3">
        <v>146</v>
      </c>
      <c r="E12" s="23">
        <f>D12-D11</f>
        <v>39</v>
      </c>
      <c r="F12" s="27">
        <v>40.1</v>
      </c>
      <c r="G12" s="30">
        <f>(41.51+40.88+40.74+40.6+40.43+40.76+40.54+40.59+40.56+40.46+40.46+40.28+40.18+40.23+40.37+40.1+40.45+40.27+40.33+40.21+40.24+40.62+40.66+41.24+40.95+40.28+40.43+40.71+40.29+41.27+40.28+40.44+40.62+40.36+40.65+40.37+40.52+40.23)/38</f>
        <v>40.529210526315786</v>
      </c>
      <c r="H12" s="26">
        <v>1</v>
      </c>
      <c r="I12" s="18">
        <f t="shared" si="0"/>
        <v>0.42921052631578505</v>
      </c>
      <c r="J12" s="12">
        <v>7.105324074074075E-2</v>
      </c>
      <c r="K12" s="12">
        <f>J12-J11</f>
        <v>1.9432870370370378E-2</v>
      </c>
      <c r="L12" s="12">
        <f>K10+K12</f>
        <v>3.9733796296296309E-2</v>
      </c>
      <c r="M12" s="85" t="s">
        <v>144</v>
      </c>
      <c r="N12" s="86" t="s">
        <v>114</v>
      </c>
    </row>
    <row r="13" spans="1:14" s="2" customFormat="1" ht="30" customHeight="1" thickBot="1">
      <c r="A13" s="105" t="s">
        <v>9</v>
      </c>
      <c r="B13" s="6" t="s">
        <v>30</v>
      </c>
      <c r="C13" s="58">
        <v>6</v>
      </c>
      <c r="D13" s="58">
        <v>173</v>
      </c>
      <c r="E13" s="23">
        <f>D13-D12</f>
        <v>27</v>
      </c>
      <c r="F13" s="28">
        <v>39.82</v>
      </c>
      <c r="G13" s="63">
        <f>(41.23+40.24+40.36+39.9+40.11+40.11+40.2+40.15+40.09+40.23+40.17+40.06+39.82+39.87+40.06+40.4+40.07+39.97+39.98+39.86+41.14+40.15+39.83+42.15+40.27+40.15+40.03)/27</f>
        <v>40.244444444444447</v>
      </c>
      <c r="H13" s="28">
        <v>4</v>
      </c>
      <c r="I13" s="82">
        <f t="shared" si="0"/>
        <v>0.42444444444444684</v>
      </c>
      <c r="J13" s="29">
        <v>8.3634259259259255E-2</v>
      </c>
      <c r="K13" s="29">
        <f>J13-J12</f>
        <v>1.2581018518518505E-2</v>
      </c>
      <c r="L13" s="29">
        <f>K11+K13</f>
        <v>4.3900462962962947E-2</v>
      </c>
      <c r="M13" s="85"/>
      <c r="N13" s="86"/>
    </row>
    <row r="14" spans="1:14" s="2" customFormat="1" ht="30" customHeight="1">
      <c r="A14" s="106"/>
      <c r="B14" s="20"/>
      <c r="C14" s="21"/>
      <c r="D14" s="21"/>
      <c r="E14" s="21"/>
      <c r="F14" s="107">
        <f>AVERAGE(F10,F11)</f>
        <v>39.745000000000005</v>
      </c>
      <c r="G14" s="108">
        <f>AVERAGE(G10,G12)</f>
        <v>40.590105263157895</v>
      </c>
      <c r="H14" s="108" t="s">
        <v>68</v>
      </c>
      <c r="I14" s="90">
        <f>AVERAGE(I10,I11)</f>
        <v>0.66831249999999542</v>
      </c>
      <c r="J14" s="21"/>
      <c r="K14" s="21"/>
      <c r="L14" s="21"/>
      <c r="M14" s="91"/>
      <c r="N14" s="91"/>
    </row>
    <row r="15" spans="1:14" ht="27.75" customHeight="1">
      <c r="A15" s="92"/>
      <c r="B15" s="92"/>
      <c r="C15" s="92"/>
      <c r="D15" s="93"/>
      <c r="E15" s="94"/>
      <c r="F15" s="95">
        <f>AVERAGE(F12,F13)</f>
        <v>39.96</v>
      </c>
      <c r="G15" s="96">
        <f>AVERAGE(G11,G13)</f>
        <v>40.210034722222218</v>
      </c>
      <c r="H15" s="96" t="s">
        <v>56</v>
      </c>
      <c r="I15" s="97">
        <f>AVERAGE(I12,I13)</f>
        <v>0.42682748538011595</v>
      </c>
      <c r="J15" s="94"/>
      <c r="K15" s="94"/>
      <c r="L15" s="94"/>
      <c r="M15" s="91"/>
      <c r="N15" s="91"/>
    </row>
    <row r="16" spans="1:14" ht="30" customHeight="1" thickBot="1">
      <c r="A16" s="98"/>
      <c r="B16" s="98"/>
      <c r="C16" s="98"/>
      <c r="D16" s="94"/>
      <c r="E16" s="94"/>
      <c r="F16" s="59">
        <f>AVERAGE(F10:F13)</f>
        <v>39.852499999999999</v>
      </c>
      <c r="G16" s="60">
        <f>AVERAGE(G10:G13)</f>
        <v>40.400069992690057</v>
      </c>
      <c r="H16" s="61"/>
      <c r="I16" s="62">
        <f>AVERAGE(I10:I13)</f>
        <v>0.54756999269005568</v>
      </c>
      <c r="J16" s="94"/>
      <c r="K16" s="94"/>
      <c r="L16" s="94"/>
      <c r="M16" s="98"/>
      <c r="N16" s="98"/>
    </row>
    <row r="19" spans="13:14">
      <c r="M19" s="1"/>
      <c r="N19" s="1"/>
    </row>
    <row r="20" spans="13:14">
      <c r="M20" s="2"/>
      <c r="N20" s="2"/>
    </row>
    <row r="21" spans="13:14">
      <c r="M21" s="2"/>
      <c r="N21" s="2"/>
    </row>
    <row r="22" spans="13:14">
      <c r="M22" s="2"/>
      <c r="N22" s="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N22"/>
  <sheetViews>
    <sheetView zoomScale="75" zoomScaleNormal="75" workbookViewId="0">
      <selection activeCell="G15" sqref="G15"/>
    </sheetView>
  </sheetViews>
  <sheetFormatPr defaultRowHeight="1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29.85546875" customWidth="1"/>
  </cols>
  <sheetData>
    <row r="4" spans="1:14" ht="18.75">
      <c r="A4" s="128" t="s">
        <v>161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4" ht="7.5" customHeight="1"/>
    <row r="6" spans="1:14" ht="17.25">
      <c r="A6" s="116" t="s">
        <v>105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4" ht="7.5" customHeight="1"/>
    <row r="8" spans="1:14" s="1" customFormat="1" ht="20.25" customHeight="1">
      <c r="A8" s="129" t="s">
        <v>4</v>
      </c>
      <c r="B8" s="130" t="s">
        <v>3</v>
      </c>
      <c r="C8" s="133" t="s">
        <v>11</v>
      </c>
      <c r="D8" s="130" t="s">
        <v>0</v>
      </c>
      <c r="E8" s="135" t="s">
        <v>49</v>
      </c>
      <c r="F8" s="137" t="s">
        <v>51</v>
      </c>
      <c r="G8" s="138"/>
      <c r="H8" s="138"/>
      <c r="I8" s="139"/>
      <c r="J8" s="131" t="s">
        <v>10</v>
      </c>
      <c r="K8" s="129" t="s">
        <v>87</v>
      </c>
      <c r="L8" s="129"/>
    </row>
    <row r="9" spans="1:14" s="1" customFormat="1" ht="27.75" customHeight="1" thickBot="1">
      <c r="A9" s="129"/>
      <c r="B9" s="130"/>
      <c r="C9" s="134"/>
      <c r="D9" s="130"/>
      <c r="E9" s="136"/>
      <c r="F9" s="48" t="s">
        <v>44</v>
      </c>
      <c r="G9" s="48" t="s">
        <v>45</v>
      </c>
      <c r="H9" s="48" t="s">
        <v>48</v>
      </c>
      <c r="I9" s="47" t="s">
        <v>46</v>
      </c>
      <c r="J9" s="132"/>
      <c r="K9" s="46" t="s">
        <v>2</v>
      </c>
      <c r="L9" s="46" t="s">
        <v>1</v>
      </c>
      <c r="M9" s="14" t="s">
        <v>47</v>
      </c>
      <c r="N9" s="14" t="s">
        <v>50</v>
      </c>
    </row>
    <row r="10" spans="1:14" s="2" customFormat="1" ht="30" customHeight="1" thickBot="1">
      <c r="A10" s="104">
        <v>1</v>
      </c>
      <c r="B10" s="4" t="s">
        <v>21</v>
      </c>
      <c r="C10" s="3">
        <v>7</v>
      </c>
      <c r="D10" s="3">
        <v>41</v>
      </c>
      <c r="E10" s="23">
        <f>D10</f>
        <v>41</v>
      </c>
      <c r="F10" s="24">
        <v>39.82</v>
      </c>
      <c r="G10" s="31">
        <f>(41.53+40.47+40.58+40.37+60.2+40.25+40.51+39.99+40.25+40.54+40.16+40.49+41.25+40.26+40.34+40.15+41.22+40.24+40.25+40.19+40.15+40.39+40.45+40.21+40+40.04+39.96+39.82+39.93+40.07+39.9+40.15+40.15+40.02+40.24+40.16+40.56+40.02+39.85)/39</f>
        <v>40.802820512820517</v>
      </c>
      <c r="H10" s="26">
        <v>2</v>
      </c>
      <c r="I10" s="15">
        <f>G10-F10</f>
        <v>0.98282051282051697</v>
      </c>
      <c r="J10" s="72">
        <v>2.0335648148148148E-2</v>
      </c>
      <c r="K10" s="12">
        <f>J10</f>
        <v>2.0335648148148148E-2</v>
      </c>
      <c r="L10" s="13">
        <f>K10</f>
        <v>2.0335648148148148E-2</v>
      </c>
      <c r="M10" s="85" t="s">
        <v>133</v>
      </c>
      <c r="N10" s="86"/>
    </row>
    <row r="11" spans="1:14" s="2" customFormat="1" ht="30" customHeight="1">
      <c r="A11" s="104">
        <v>2</v>
      </c>
      <c r="B11" s="4" t="s">
        <v>38</v>
      </c>
      <c r="C11" s="3">
        <v>5</v>
      </c>
      <c r="D11" s="3">
        <v>100</v>
      </c>
      <c r="E11" s="23">
        <f>D11-D10</f>
        <v>59</v>
      </c>
      <c r="F11" s="109">
        <v>39.71</v>
      </c>
      <c r="G11" s="71">
        <f>(41.4+40.06+41.22+40.57+40.03+40.14+40.25+40.13+39.97+39.79+40.01+40.11+40.34+40.14+40.11+40.21+40.3+40.29+40.3+40.18+39.9+40.22+40.2+40.89+40.14+40.18+40.74+40.72+40.17+40.04+40.13+39.91+40.61+39.96+39.91+39.85+39.71+40.48+39.86+39.9+39.83+39.76+39.82+40.1+39.98+40.01+39.97+39.91+40.71+39.85+39.86+39.99+39.98+40.14+40.09+40.31+39.95+39.8)/58</f>
        <v>40.157413793103444</v>
      </c>
      <c r="H11" s="26">
        <v>3</v>
      </c>
      <c r="I11" s="22">
        <f t="shared" ref="I11:I13" si="0">G11-F11</f>
        <v>0.44741379310344342</v>
      </c>
      <c r="J11" s="12">
        <v>4.8888888888888891E-2</v>
      </c>
      <c r="K11" s="12">
        <f>J11-J10</f>
        <v>2.8553240740740744E-2</v>
      </c>
      <c r="L11" s="13">
        <f>K11</f>
        <v>2.8553240740740744E-2</v>
      </c>
      <c r="M11" s="85" t="s">
        <v>134</v>
      </c>
      <c r="N11" s="86" t="s">
        <v>153</v>
      </c>
    </row>
    <row r="12" spans="1:14" s="2" customFormat="1" ht="30" customHeight="1" thickBot="1">
      <c r="A12" s="104">
        <v>3</v>
      </c>
      <c r="B12" s="4" t="s">
        <v>21</v>
      </c>
      <c r="C12" s="3">
        <v>9</v>
      </c>
      <c r="D12" s="3">
        <v>129</v>
      </c>
      <c r="E12" s="23">
        <f>D12-D11</f>
        <v>29</v>
      </c>
      <c r="F12" s="28">
        <v>40.04</v>
      </c>
      <c r="G12" s="30">
        <f>(41.32+40.56+40.82+40.42+40.45+40.86+40.59+40.26+40.48+40.2+40.38+40.35+40.35+40.22+40.29+40.26+40.1+40.18+40.21+40.83+40.42+40.22+40.42+40.44+40.04+40.17+40.19+40.06)/28</f>
        <v>40.396071428571425</v>
      </c>
      <c r="H12" s="26">
        <v>2</v>
      </c>
      <c r="I12" s="18">
        <f t="shared" si="0"/>
        <v>0.35607142857142549</v>
      </c>
      <c r="J12" s="12">
        <v>6.3541666666666663E-2</v>
      </c>
      <c r="K12" s="12">
        <f>J12-J11</f>
        <v>1.4652777777777772E-2</v>
      </c>
      <c r="L12" s="12">
        <f>K12+K10</f>
        <v>3.4988425925925923E-2</v>
      </c>
      <c r="M12" s="85" t="s">
        <v>135</v>
      </c>
      <c r="N12" s="86"/>
    </row>
    <row r="13" spans="1:14" s="2" customFormat="1" ht="30" customHeight="1" thickBot="1">
      <c r="A13" s="105" t="s">
        <v>9</v>
      </c>
      <c r="B13" s="6" t="s">
        <v>38</v>
      </c>
      <c r="C13" s="58">
        <v>10</v>
      </c>
      <c r="D13" s="58">
        <v>173</v>
      </c>
      <c r="E13" s="23">
        <f>D13-D12</f>
        <v>44</v>
      </c>
      <c r="F13" s="16">
        <v>39.630000000000003</v>
      </c>
      <c r="G13" s="31">
        <f>(40.72+40.35+40.56+40.15+39.94+39.72+39.63+39.91+40.17+39.71+39.68+40.11+39.84+39.71+39.87+39.74+39.85+39.94+39.75+40.03+39.85+39.77+40.04+40.01+39.89+39.92+39.82+40.49+39.83+39.81+39.87+39.78+39.87+39.84+39.8+39.92+39.83+40.01+39.78+39.91+39.92+39.97+39.94+39.71)/44</f>
        <v>39.93090909090909</v>
      </c>
      <c r="H13" s="26">
        <v>5</v>
      </c>
      <c r="I13" s="82">
        <f t="shared" si="0"/>
        <v>0.30090909090908724</v>
      </c>
      <c r="J13" s="29">
        <v>8.3634259259259255E-2</v>
      </c>
      <c r="K13" s="29">
        <f>J13-J12</f>
        <v>2.0092592592592592E-2</v>
      </c>
      <c r="L13" s="29">
        <f>K13+K11</f>
        <v>4.8645833333333333E-2</v>
      </c>
      <c r="M13" s="85"/>
      <c r="N13" s="86"/>
    </row>
    <row r="14" spans="1:14" s="2" customFormat="1" ht="30" customHeight="1">
      <c r="A14" s="106"/>
      <c r="B14" s="20"/>
      <c r="C14" s="21"/>
      <c r="D14" s="21"/>
      <c r="E14" s="21"/>
      <c r="F14" s="88">
        <f>AVERAGE(F10,F11)</f>
        <v>39.765000000000001</v>
      </c>
      <c r="G14" s="89">
        <f>AVERAGE(G10,G12)</f>
        <v>40.599445970695967</v>
      </c>
      <c r="H14" s="89" t="s">
        <v>56</v>
      </c>
      <c r="I14" s="90">
        <f>AVERAGE(I10,I11)</f>
        <v>0.7151171529619802</v>
      </c>
      <c r="J14" s="21"/>
      <c r="K14" s="21"/>
      <c r="L14" s="21"/>
      <c r="M14" s="91"/>
      <c r="N14" s="91"/>
    </row>
    <row r="15" spans="1:14" ht="27.75" customHeight="1">
      <c r="A15" s="92"/>
      <c r="B15" s="92"/>
      <c r="C15" s="92"/>
      <c r="D15" s="93"/>
      <c r="E15" s="94"/>
      <c r="F15" s="95">
        <f>AVERAGE(F12,F13)</f>
        <v>39.835000000000001</v>
      </c>
      <c r="G15" s="96">
        <f>AVERAGE(G11,G13)</f>
        <v>40.044161442006271</v>
      </c>
      <c r="H15" s="96" t="s">
        <v>52</v>
      </c>
      <c r="I15" s="97">
        <f>AVERAGE(I12,I13)</f>
        <v>0.32849025974025636</v>
      </c>
      <c r="J15" s="94"/>
      <c r="L15" s="94"/>
      <c r="M15" s="91"/>
      <c r="N15" s="91"/>
    </row>
    <row r="16" spans="1:14" ht="30" customHeight="1" thickBot="1">
      <c r="A16" s="98"/>
      <c r="B16" s="98"/>
      <c r="C16" s="98"/>
      <c r="D16" s="94"/>
      <c r="E16" s="94"/>
      <c r="F16" s="59">
        <f>AVERAGE(F10:F13)</f>
        <v>39.799999999999997</v>
      </c>
      <c r="G16" s="60">
        <f>AVERAGE(G10:G13)</f>
        <v>40.321803706351119</v>
      </c>
      <c r="H16" s="61"/>
      <c r="I16" s="62">
        <f>AVERAGE(I10:I13)</f>
        <v>0.52180370635111828</v>
      </c>
      <c r="J16" s="94"/>
      <c r="K16" s="94" t="s">
        <v>100</v>
      </c>
      <c r="L16" s="94"/>
      <c r="M16" s="98"/>
      <c r="N16" s="98"/>
    </row>
    <row r="17" spans="1:14" ht="15.75">
      <c r="A17" s="98"/>
      <c r="B17" s="98"/>
      <c r="C17" s="98"/>
      <c r="D17" s="94"/>
      <c r="E17" s="94"/>
      <c r="F17" s="94"/>
      <c r="G17" s="94"/>
      <c r="H17" s="94"/>
      <c r="I17" s="94"/>
      <c r="J17" s="94"/>
      <c r="K17" s="94"/>
      <c r="L17" s="94"/>
      <c r="M17" s="98"/>
      <c r="N17" s="98"/>
    </row>
    <row r="18" spans="1:14" ht="15.75">
      <c r="A18" s="98"/>
      <c r="B18" s="98"/>
      <c r="C18" s="98"/>
      <c r="D18" s="94"/>
      <c r="E18" s="94"/>
      <c r="F18" s="94"/>
      <c r="G18" s="94"/>
      <c r="H18" s="94"/>
      <c r="I18" s="94"/>
      <c r="J18" s="94"/>
      <c r="K18" s="94"/>
      <c r="L18" s="94"/>
      <c r="M18" s="98"/>
      <c r="N18" s="98"/>
    </row>
    <row r="19" spans="1:14">
      <c r="M19" s="1"/>
      <c r="N19" s="1"/>
    </row>
    <row r="20" spans="1:14">
      <c r="M20" s="2"/>
      <c r="N20" s="2"/>
    </row>
    <row r="21" spans="1:14">
      <c r="M21" s="2"/>
      <c r="N21" s="2"/>
    </row>
    <row r="22" spans="1:14">
      <c r="M22" s="2"/>
      <c r="N22" s="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N22"/>
  <sheetViews>
    <sheetView zoomScale="75" zoomScaleNormal="75" workbookViewId="0">
      <selection activeCell="A4" sqref="A4:L4"/>
    </sheetView>
  </sheetViews>
  <sheetFormatPr defaultRowHeight="1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18.140625" customWidth="1"/>
  </cols>
  <sheetData>
    <row r="4" spans="1:14" ht="18.75">
      <c r="A4" s="128" t="s">
        <v>161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4" ht="7.5" customHeight="1"/>
    <row r="6" spans="1:14" ht="17.25">
      <c r="A6" s="116" t="s">
        <v>104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4" ht="7.5" customHeight="1"/>
    <row r="8" spans="1:14" s="1" customFormat="1" ht="20.25" customHeight="1">
      <c r="A8" s="129" t="s">
        <v>4</v>
      </c>
      <c r="B8" s="130" t="s">
        <v>3</v>
      </c>
      <c r="C8" s="133" t="s">
        <v>11</v>
      </c>
      <c r="D8" s="130" t="s">
        <v>0</v>
      </c>
      <c r="E8" s="135" t="s">
        <v>49</v>
      </c>
      <c r="F8" s="137" t="s">
        <v>51</v>
      </c>
      <c r="G8" s="138"/>
      <c r="H8" s="138"/>
      <c r="I8" s="139"/>
      <c r="J8" s="131" t="s">
        <v>10</v>
      </c>
      <c r="K8" s="129" t="s">
        <v>87</v>
      </c>
      <c r="L8" s="129"/>
    </row>
    <row r="9" spans="1:14" s="1" customFormat="1" ht="27.75" customHeight="1">
      <c r="A9" s="129"/>
      <c r="B9" s="130"/>
      <c r="C9" s="134"/>
      <c r="D9" s="130"/>
      <c r="E9" s="136"/>
      <c r="F9" s="48" t="s">
        <v>44</v>
      </c>
      <c r="G9" s="48" t="s">
        <v>45</v>
      </c>
      <c r="H9" s="48" t="s">
        <v>48</v>
      </c>
      <c r="I9" s="47" t="s">
        <v>46</v>
      </c>
      <c r="J9" s="132"/>
      <c r="K9" s="46" t="s">
        <v>2</v>
      </c>
      <c r="L9" s="46" t="s">
        <v>1</v>
      </c>
      <c r="M9" s="14" t="s">
        <v>47</v>
      </c>
      <c r="N9" s="14" t="s">
        <v>50</v>
      </c>
    </row>
    <row r="10" spans="1:14" s="2" customFormat="1" ht="30" customHeight="1" thickBot="1">
      <c r="A10" s="104">
        <v>1</v>
      </c>
      <c r="B10" s="4" t="s">
        <v>74</v>
      </c>
      <c r="C10" s="3">
        <v>6</v>
      </c>
      <c r="D10" s="3">
        <v>16</v>
      </c>
      <c r="E10" s="23">
        <f>D10</f>
        <v>16</v>
      </c>
      <c r="F10" s="28">
        <v>39.68</v>
      </c>
      <c r="G10" s="30">
        <f>(40.76+40.15+42.75+40.14+41.34+40.28+39.92+39.92+39.99+39.68+39.84+39.84+39.72+40.33)/14</f>
        <v>40.332857142857158</v>
      </c>
      <c r="H10" s="26">
        <v>1</v>
      </c>
      <c r="I10" s="15">
        <f>G10-F10</f>
        <v>0.65285714285715812</v>
      </c>
      <c r="J10" s="12">
        <v>8.4953703703703701E-3</v>
      </c>
      <c r="K10" s="12">
        <f>J10</f>
        <v>8.4953703703703701E-3</v>
      </c>
      <c r="L10" s="13">
        <f>K10</f>
        <v>8.4953703703703701E-3</v>
      </c>
      <c r="M10" s="85" t="s">
        <v>130</v>
      </c>
      <c r="N10" s="86"/>
    </row>
    <row r="11" spans="1:14" s="2" customFormat="1" ht="30" customHeight="1" thickBot="1">
      <c r="A11" s="104">
        <v>2</v>
      </c>
      <c r="B11" s="4" t="s">
        <v>20</v>
      </c>
      <c r="C11" s="3">
        <v>69</v>
      </c>
      <c r="D11" s="3">
        <v>78</v>
      </c>
      <c r="E11" s="23">
        <f>D11-D10</f>
        <v>62</v>
      </c>
      <c r="F11" s="111">
        <v>39.43</v>
      </c>
      <c r="G11" s="81">
        <f>(41.56+40.21+39.83+40+39.81+39.72+39.78+39.94+39.76+39.92+39.8+39.6+39.71+39.61+40.14+39.82+39.77+40.29+39.8+39.93+39.94+39.6+39.69+39.56+39.77+39.7+39.84+39.68+39.87+39.95+39.86+40.02+40.52+39.66+39.48+39.74+39.53+40.04+39.43+39.84+39.87+39.74+39.74+39.58+39.74+39.71+39.94+39.85+40.07+40.57+40.35+39.7+40.04+39.62+39.65+40.04+39.75+40.38+41.13+40.08+41.32)/61</f>
        <v>39.927704918032781</v>
      </c>
      <c r="H11" s="26">
        <v>2</v>
      </c>
      <c r="I11" s="22">
        <f t="shared" ref="I11:I13" si="0">G11-F11</f>
        <v>0.49770491803278105</v>
      </c>
      <c r="J11" s="12">
        <v>3.8229166666666668E-2</v>
      </c>
      <c r="K11" s="12">
        <f>J11-J10</f>
        <v>2.97337962962963E-2</v>
      </c>
      <c r="L11" s="13">
        <f>K11</f>
        <v>2.97337962962963E-2</v>
      </c>
      <c r="M11" s="85" t="s">
        <v>132</v>
      </c>
      <c r="N11" s="86"/>
    </row>
    <row r="12" spans="1:14" s="2" customFormat="1" ht="30" customHeight="1" thickBot="1">
      <c r="A12" s="104">
        <v>3</v>
      </c>
      <c r="B12" s="4" t="s">
        <v>20</v>
      </c>
      <c r="C12" s="3">
        <v>10</v>
      </c>
      <c r="D12" s="3">
        <v>99</v>
      </c>
      <c r="E12" s="23">
        <f>D12-D11</f>
        <v>21</v>
      </c>
      <c r="F12" s="35">
        <v>39.770000000000003</v>
      </c>
      <c r="G12" s="30">
        <f>(41.38+40.95+40.26+40.29+40.85+40+39.92+39.77+39.96+39.81+40.29+39.89+39.78+39.83+40.19+40.18+40.27+39.98+40.74+39.96)/20</f>
        <v>40.215000000000003</v>
      </c>
      <c r="H12" s="26">
        <v>3</v>
      </c>
      <c r="I12" s="18">
        <f t="shared" si="0"/>
        <v>0.44500000000000028</v>
      </c>
      <c r="J12" s="12">
        <v>4.9085648148148149E-2</v>
      </c>
      <c r="K12" s="12">
        <f>J12-J11</f>
        <v>1.0856481481481481E-2</v>
      </c>
      <c r="L12" s="12">
        <f>K12+K11</f>
        <v>4.0590277777777781E-2</v>
      </c>
      <c r="M12" s="85" t="s">
        <v>131</v>
      </c>
      <c r="N12" s="86"/>
    </row>
    <row r="13" spans="1:14" s="2" customFormat="1" ht="30" customHeight="1" thickBot="1">
      <c r="A13" s="105" t="s">
        <v>9</v>
      </c>
      <c r="B13" s="6" t="s">
        <v>74</v>
      </c>
      <c r="C13" s="58">
        <v>8</v>
      </c>
      <c r="D13" s="58">
        <v>174</v>
      </c>
      <c r="E13" s="23">
        <f>D13-D12</f>
        <v>75</v>
      </c>
      <c r="F13" s="16">
        <v>39.22</v>
      </c>
      <c r="G13" s="31">
        <f>(41.49+39.87+39.72+40.18+39.82+40.08+40.23+39.7+39.91+39.72+39.74+39.93+39.69+39.68+39.74+39.75+40.84+40.08+39.96+39.53+39.7+39.67+39.46+39.75+39.69+39.56+39.78+39.67+39.88+39.69+39.64+39.61+39.73+39.5+39.78+39.73+39.57+39.76+39.46+39.66+39.63+39.57+39.53+39.68+39.66+39.78+39.63+39.54+39.38+39.34+39.47+39.6+39.6+39.56+40.38+39.43+39.45+39.54+39.88+39.69+39.57+39.6+40.27+39.68+39.56+39.22+40.13+39.77+39.5+39.56+39.67+40.17+39.45+39.36+39.43)/75</f>
        <v>39.736400000000003</v>
      </c>
      <c r="H13" s="26">
        <v>0</v>
      </c>
      <c r="I13" s="82">
        <f t="shared" si="0"/>
        <v>0.51640000000000441</v>
      </c>
      <c r="J13" s="29">
        <v>8.3634259259259255E-2</v>
      </c>
      <c r="K13" s="163">
        <f>J13-J12</f>
        <v>3.4548611111111106E-2</v>
      </c>
      <c r="L13" s="29">
        <f>K13+K10</f>
        <v>4.3043981481481475E-2</v>
      </c>
      <c r="M13" s="85"/>
      <c r="N13" s="86" t="s">
        <v>115</v>
      </c>
    </row>
    <row r="14" spans="1:14" s="2" customFormat="1" ht="30" customHeight="1">
      <c r="A14" s="106"/>
      <c r="B14" s="20"/>
      <c r="C14" s="21"/>
      <c r="D14" s="21"/>
      <c r="E14" s="21"/>
      <c r="F14" s="88">
        <f>AVERAGE(F10,F13)</f>
        <v>39.450000000000003</v>
      </c>
      <c r="G14" s="89">
        <f>AVERAGE(G10,G13)</f>
        <v>40.034628571428584</v>
      </c>
      <c r="H14" s="89" t="s">
        <v>74</v>
      </c>
      <c r="I14" s="90">
        <f>AVERAGE(I10,I11)</f>
        <v>0.57528103044496959</v>
      </c>
      <c r="J14" s="21"/>
      <c r="K14" s="21"/>
      <c r="L14" s="21"/>
      <c r="M14" s="91"/>
      <c r="N14" s="91"/>
    </row>
    <row r="15" spans="1:14" ht="27.75" customHeight="1">
      <c r="A15" s="92"/>
      <c r="B15" s="92"/>
      <c r="C15" s="92"/>
      <c r="D15" s="93"/>
      <c r="E15" s="94"/>
      <c r="F15" s="95">
        <f>AVERAGE(F12,F11)</f>
        <v>39.6</v>
      </c>
      <c r="G15" s="96">
        <f>AVERAGE(G12,G11)</f>
        <v>40.071352459016396</v>
      </c>
      <c r="H15" s="96" t="s">
        <v>57</v>
      </c>
      <c r="I15" s="97">
        <f>AVERAGE(I12,I13)</f>
        <v>0.48070000000000235</v>
      </c>
      <c r="J15" s="94"/>
      <c r="K15" s="94"/>
      <c r="L15" s="94"/>
      <c r="M15" s="91"/>
      <c r="N15" s="91"/>
    </row>
    <row r="16" spans="1:14" ht="30" customHeight="1" thickBot="1">
      <c r="A16" s="98"/>
      <c r="B16" s="98"/>
      <c r="C16" s="98"/>
      <c r="D16" s="94"/>
      <c r="E16" s="94"/>
      <c r="F16" s="59">
        <f>AVERAGE(F10:F13)</f>
        <v>39.524999999999999</v>
      </c>
      <c r="G16" s="60">
        <f>AVERAGE(G10:G13)</f>
        <v>40.05299051522249</v>
      </c>
      <c r="H16" s="61"/>
      <c r="I16" s="62">
        <f>AVERAGE(I10:I13)</f>
        <v>0.52799051522248597</v>
      </c>
      <c r="J16" s="94"/>
      <c r="K16" s="94"/>
      <c r="L16" s="94"/>
      <c r="M16" s="98"/>
      <c r="N16" s="98"/>
    </row>
    <row r="17" spans="1:14" ht="15.75">
      <c r="A17" s="98"/>
      <c r="B17" s="98"/>
      <c r="C17" s="98"/>
      <c r="D17" s="94"/>
      <c r="E17" s="94"/>
      <c r="F17" s="94"/>
      <c r="G17" s="94"/>
      <c r="H17" s="94"/>
      <c r="I17" s="94"/>
      <c r="J17" s="94"/>
      <c r="K17" s="94"/>
      <c r="L17" s="94"/>
      <c r="M17" s="98"/>
      <c r="N17" s="98"/>
    </row>
    <row r="19" spans="1:14">
      <c r="M19" s="1"/>
      <c r="N19" s="1"/>
    </row>
    <row r="20" spans="1:14">
      <c r="M20" s="2"/>
      <c r="N20" s="2"/>
    </row>
    <row r="21" spans="1:14">
      <c r="M21" s="2"/>
      <c r="N21" s="2"/>
    </row>
    <row r="22" spans="1:14">
      <c r="M22" s="2"/>
      <c r="N22" s="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4:N22"/>
  <sheetViews>
    <sheetView zoomScale="75" zoomScaleNormal="75" workbookViewId="0">
      <selection activeCell="A4" sqref="A4:L4"/>
    </sheetView>
  </sheetViews>
  <sheetFormatPr defaultRowHeight="1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12.42578125" customWidth="1"/>
  </cols>
  <sheetData>
    <row r="4" spans="1:14" ht="18.75">
      <c r="A4" s="128" t="s">
        <v>161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4" ht="7.5" customHeight="1"/>
    <row r="6" spans="1:14" ht="17.25">
      <c r="A6" s="116" t="s">
        <v>101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4" ht="7.5" customHeight="1"/>
    <row r="8" spans="1:14" s="1" customFormat="1" ht="20.25" customHeight="1">
      <c r="A8" s="129" t="s">
        <v>4</v>
      </c>
      <c r="B8" s="130" t="s">
        <v>3</v>
      </c>
      <c r="C8" s="133" t="s">
        <v>11</v>
      </c>
      <c r="D8" s="130" t="s">
        <v>0</v>
      </c>
      <c r="E8" s="135" t="s">
        <v>49</v>
      </c>
      <c r="F8" s="137" t="s">
        <v>51</v>
      </c>
      <c r="G8" s="138"/>
      <c r="H8" s="138"/>
      <c r="I8" s="139"/>
      <c r="J8" s="131" t="s">
        <v>10</v>
      </c>
      <c r="K8" s="129" t="s">
        <v>87</v>
      </c>
      <c r="L8" s="129"/>
    </row>
    <row r="9" spans="1:14" s="1" customFormat="1" ht="27.75" customHeight="1">
      <c r="A9" s="129"/>
      <c r="B9" s="130"/>
      <c r="C9" s="134"/>
      <c r="D9" s="130"/>
      <c r="E9" s="136"/>
      <c r="F9" s="9" t="s">
        <v>44</v>
      </c>
      <c r="G9" s="9" t="s">
        <v>45</v>
      </c>
      <c r="H9" s="9" t="s">
        <v>48</v>
      </c>
      <c r="I9" s="8" t="s">
        <v>46</v>
      </c>
      <c r="J9" s="132"/>
      <c r="K9" s="7" t="s">
        <v>2</v>
      </c>
      <c r="L9" s="7" t="s">
        <v>1</v>
      </c>
      <c r="M9" s="14" t="s">
        <v>47</v>
      </c>
      <c r="N9" s="14" t="s">
        <v>50</v>
      </c>
    </row>
    <row r="10" spans="1:14" s="2" customFormat="1" ht="30" customHeight="1" thickBot="1">
      <c r="A10" s="104">
        <v>1</v>
      </c>
      <c r="B10" s="4" t="s">
        <v>26</v>
      </c>
      <c r="C10" s="3">
        <v>2</v>
      </c>
      <c r="D10" s="3">
        <v>32</v>
      </c>
      <c r="E10" s="23">
        <f>D10</f>
        <v>32</v>
      </c>
      <c r="F10" s="28">
        <v>40.04</v>
      </c>
      <c r="G10" s="30">
        <f>(44.48+42.3+42.05+41.47+42.27+40.71+40.9+41.03+41.67+40.16+40.59+40.16+40.14+40.07+40.17+40.94+40.04+40.26+40.22+40.19+40.34+40.06+40.3+40.35+40.66+40.37+40.12+41.85+41.32+40.04)/30</f>
        <v>40.840999999999994</v>
      </c>
      <c r="H10" s="26">
        <v>3</v>
      </c>
      <c r="I10" s="15">
        <f>G10-F10</f>
        <v>0.80099999999999483</v>
      </c>
      <c r="J10" s="12">
        <v>1.6099537037037037E-2</v>
      </c>
      <c r="K10" s="12">
        <f>J10</f>
        <v>1.6099537037037037E-2</v>
      </c>
      <c r="L10" s="13">
        <f>K10</f>
        <v>1.6099537037037037E-2</v>
      </c>
      <c r="M10" s="85" t="s">
        <v>121</v>
      </c>
      <c r="N10" s="86"/>
    </row>
    <row r="11" spans="1:14" s="2" customFormat="1" ht="30" customHeight="1" thickBot="1">
      <c r="A11" s="104">
        <v>2</v>
      </c>
      <c r="B11" s="4" t="s">
        <v>24</v>
      </c>
      <c r="C11" s="3">
        <v>9</v>
      </c>
      <c r="D11" s="3">
        <v>94</v>
      </c>
      <c r="E11" s="23">
        <v>62</v>
      </c>
      <c r="F11" s="87">
        <v>39.93</v>
      </c>
      <c r="G11" s="81">
        <f>(41.46+40.69+40.78+40.8+40.38+41.19+40.87+40.75+40.26+40.22+40.51+40.72+40.9+40.51+40.04+40.08+40.15+40.31+40.15+40.21+40.2+40.13+40.21+40.07+40.25+39.93+40.4+40.7+40.14+40.86+40.62+40.28+40.64+41.26+40.26+40.72+40.06+40.35+40.36+40.56+40.89+40.41+40.26+40.21+40.54+40.77+40.57+40.62+40.16+40.33+40.07+40.25+40.19+40.29+40.73+40.6+40.57+40.31+40.26+40.35+40.31)/61</f>
        <v>40.45360655737705</v>
      </c>
      <c r="H11" s="26">
        <v>0</v>
      </c>
      <c r="I11" s="22">
        <f>G11-F11</f>
        <v>0.52360655737705031</v>
      </c>
      <c r="J11" s="12">
        <v>4.6226851851851852E-2</v>
      </c>
      <c r="K11" s="12">
        <f>J11-J10</f>
        <v>3.0127314814814815E-2</v>
      </c>
      <c r="L11" s="12">
        <f>K11</f>
        <v>3.0127314814814815E-2</v>
      </c>
      <c r="M11" s="85" t="s">
        <v>122</v>
      </c>
      <c r="N11" s="86"/>
    </row>
    <row r="12" spans="1:14" s="2" customFormat="1" ht="30" customHeight="1" thickBot="1">
      <c r="A12" s="104">
        <v>3</v>
      </c>
      <c r="B12" s="4" t="s">
        <v>26</v>
      </c>
      <c r="C12" s="3">
        <v>3</v>
      </c>
      <c r="D12" s="3">
        <v>142</v>
      </c>
      <c r="E12" s="23">
        <v>48</v>
      </c>
      <c r="F12" s="16">
        <v>39.659999999999997</v>
      </c>
      <c r="G12" s="31">
        <f>(41.03+43.54+40.54+40.21+40.26+40.03+40.36+40.05+40.37+40.88+41.19+40.07+41.17+39.79+40.27+40.36+40.5+40.1+40.03+40.09+40.18+39.93+40.22+40.14+40.15+40.03+40.08+40.13+39.89+40.26+40.16+40.1+39.9+39.8+40.15+39.66+39.88+41.21+39.88+40.19+40.1+40.25+40.07+39.88+39.81+40.04+40.38)/47</f>
        <v>40.283191489361712</v>
      </c>
      <c r="H12" s="26">
        <v>0</v>
      </c>
      <c r="I12" s="18">
        <f>G12-F12</f>
        <v>0.62319148936171587</v>
      </c>
      <c r="J12" s="12">
        <v>6.9699074074074066E-2</v>
      </c>
      <c r="K12" s="12">
        <f>J12-J11</f>
        <v>2.3472222222222214E-2</v>
      </c>
      <c r="L12" s="13">
        <f>K12+K10</f>
        <v>3.9571759259259251E-2</v>
      </c>
      <c r="M12" s="85" t="s">
        <v>123</v>
      </c>
      <c r="N12" s="86"/>
    </row>
    <row r="13" spans="1:14" s="2" customFormat="1" ht="30" customHeight="1" thickBot="1">
      <c r="A13" s="105" t="s">
        <v>9</v>
      </c>
      <c r="B13" s="6" t="s">
        <v>24</v>
      </c>
      <c r="C13" s="58">
        <v>2</v>
      </c>
      <c r="D13" s="58">
        <v>172</v>
      </c>
      <c r="E13" s="23">
        <v>30</v>
      </c>
      <c r="F13" s="27">
        <v>40.090000000000003</v>
      </c>
      <c r="G13" s="30">
        <f>(41.28+40.55+41.78+40.09+40.43+40.62+40.11+40.35+40.91+41.84+40.2+41.01+40.31+40.42+40.33+40.51+40.18+40.24+40.33+40.23+40.42+40.27+40.95+40.25+40.47+40.41+40.37+40.21+40.34+40.39)/30</f>
        <v>40.526666666666664</v>
      </c>
      <c r="H13" s="26">
        <v>2</v>
      </c>
      <c r="I13" s="82">
        <f>G13-F13</f>
        <v>0.43666666666666032</v>
      </c>
      <c r="J13" s="29">
        <v>8.3634259259259255E-2</v>
      </c>
      <c r="K13" s="29">
        <f>J13-J12</f>
        <v>1.3935185185185189E-2</v>
      </c>
      <c r="L13" s="29">
        <f>K13+K11</f>
        <v>4.4062500000000004E-2</v>
      </c>
      <c r="M13" s="85"/>
      <c r="N13" s="86"/>
    </row>
    <row r="14" spans="1:14" s="2" customFormat="1" ht="30" customHeight="1">
      <c r="A14" s="106"/>
      <c r="B14" s="20"/>
      <c r="C14" s="21"/>
      <c r="D14" s="21"/>
      <c r="E14" s="21"/>
      <c r="F14" s="88">
        <f>AVERAGE(F10,F11)</f>
        <v>39.984999999999999</v>
      </c>
      <c r="G14" s="89">
        <f>AVERAGE(G10,G12)</f>
        <v>40.562095744680853</v>
      </c>
      <c r="H14" s="89" t="s">
        <v>145</v>
      </c>
      <c r="I14" s="90">
        <f>AVERAGE(I10,I11)</f>
        <v>0.66230327868852257</v>
      </c>
      <c r="J14" s="21"/>
      <c r="K14" s="21"/>
      <c r="L14" s="21"/>
      <c r="M14" s="91"/>
      <c r="N14" s="91"/>
    </row>
    <row r="15" spans="1:14" ht="27.75" customHeight="1">
      <c r="A15" s="92"/>
      <c r="B15" s="92"/>
      <c r="C15" s="92"/>
      <c r="D15" s="93"/>
      <c r="E15" s="94"/>
      <c r="F15" s="95">
        <f>AVERAGE(F12,F13)</f>
        <v>39.875</v>
      </c>
      <c r="G15" s="96">
        <f>AVERAGE(G11,G13)</f>
        <v>40.490136612021857</v>
      </c>
      <c r="H15" s="96" t="s">
        <v>53</v>
      </c>
      <c r="I15" s="97">
        <f>AVERAGE(I12,I13)</f>
        <v>0.52992907801418809</v>
      </c>
      <c r="J15" s="94"/>
      <c r="K15" s="94"/>
      <c r="L15" s="94"/>
      <c r="M15" s="91"/>
      <c r="N15" s="91"/>
    </row>
    <row r="16" spans="1:14" ht="30" customHeight="1" thickBot="1">
      <c r="A16" s="98"/>
      <c r="B16" s="98"/>
      <c r="C16" s="98"/>
      <c r="D16" s="94"/>
      <c r="E16" s="94"/>
      <c r="F16" s="59">
        <f>AVERAGE(F10:F13)</f>
        <v>39.93</v>
      </c>
      <c r="G16" s="60">
        <f>AVERAGE(G10:G13)</f>
        <v>40.526116178351359</v>
      </c>
      <c r="H16" s="61"/>
      <c r="I16" s="62">
        <f>AVERAGE(I10:I13)</f>
        <v>0.59611617835135533</v>
      </c>
      <c r="J16" s="94"/>
      <c r="K16" s="94"/>
      <c r="L16" s="94"/>
      <c r="M16" s="98"/>
      <c r="N16" s="98"/>
    </row>
    <row r="19" spans="13:14">
      <c r="M19" s="1"/>
      <c r="N19" s="1"/>
    </row>
    <row r="20" spans="13:14">
      <c r="M20" s="2"/>
      <c r="N20" s="2"/>
    </row>
    <row r="21" spans="13:14">
      <c r="M21" s="2"/>
      <c r="N21" s="2"/>
    </row>
    <row r="22" spans="13:14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Общие результаты</vt:lpstr>
      <vt:lpstr>Регистрация</vt:lpstr>
      <vt:lpstr>Ognem Racing</vt:lpstr>
      <vt:lpstr>Winny</vt:lpstr>
      <vt:lpstr>Fury</vt:lpstr>
      <vt:lpstr>FNT</vt:lpstr>
      <vt:lpstr>Kozak i razboiniki</vt:lpstr>
      <vt:lpstr>Mesnyki</vt:lpstr>
      <vt:lpstr>Levi-9</vt:lpstr>
      <vt:lpstr>dbCar</vt:lpstr>
      <vt:lpstr>Jaguar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Dio</cp:lastModifiedBy>
  <cp:lastPrinted>2016-07-17T21:49:10Z</cp:lastPrinted>
  <dcterms:created xsi:type="dcterms:W3CDTF">2012-07-06T15:34:01Z</dcterms:created>
  <dcterms:modified xsi:type="dcterms:W3CDTF">2016-07-17T22:08:47Z</dcterms:modified>
</cp:coreProperties>
</file>